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readinessStandards/attachments/"/>
    </mc:Choice>
  </mc:AlternateContent>
  <xr:revisionPtr revIDLastSave="0" documentId="8_{2D51EEE1-EF09-4BE0-BCE0-00EF93BB37C2}" xr6:coauthVersionLast="47" xr6:coauthVersionMax="47" xr10:uidLastSave="{00000000-0000-0000-0000-000000000000}"/>
  <bookViews>
    <workbookView xWindow="-120" yWindow="-120" windowWidth="29040" windowHeight="15840" tabRatio="895" xr2:uid="{00000000-000D-0000-FFFF-FFFF00000000}"/>
  </bookViews>
  <sheets>
    <sheet name="Inventory" sheetId="5" r:id="rId1"/>
    <sheet name="Log" sheetId="6" r:id="rId2"/>
    <sheet name="P-8A Standard (U)" sheetId="8" r:id="rId3"/>
    <sheet name="P3C FRU (Reserve) Standard (U) " sheetId="16" r:id="rId4"/>
    <sheet name="VP FRS" sheetId="20" r:id="rId5"/>
    <sheet name="VP PDAA" sheetId="22" r:id="rId6"/>
    <sheet name="VP P-3C Reduced Matrix" sheetId="12" r:id="rId7"/>
    <sheet name="VP P-8A Reduced Matrix" sheetId="14" r:id="rId8"/>
    <sheet name="P-8A Mission System Summary" sheetId="21" r:id="rId9"/>
    <sheet name="VP P-8A Mission Systems" sheetId="15" r:id="rId10"/>
    <sheet name="VP P-3C Mission Systems" sheetId="13" r:id="rId11"/>
    <sheet name="Definitions" sheetId="19"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 l="1"/>
  <c r="E10" i="5"/>
  <c r="E11" i="5"/>
  <c r="E12" i="5"/>
  <c r="E13" i="5"/>
  <c r="E14" i="5"/>
  <c r="E15" i="5"/>
  <c r="D5" i="5"/>
  <c r="E5" i="5" s="1"/>
  <c r="C5" i="5"/>
  <c r="A5" i="5"/>
  <c r="C19" i="22"/>
  <c r="B19" i="22"/>
  <c r="B21" i="22" s="1"/>
  <c r="C21" i="22"/>
  <c r="D8" i="5"/>
  <c r="E8" i="5" s="1"/>
  <c r="C55" i="8"/>
  <c r="D55" i="8"/>
  <c r="E55" i="8"/>
  <c r="F55" i="8"/>
  <c r="G55" i="8"/>
  <c r="H55" i="8"/>
  <c r="I55" i="8"/>
  <c r="J55" i="8"/>
  <c r="K55" i="8"/>
  <c r="L55" i="8"/>
  <c r="M55" i="8"/>
  <c r="N55" i="8"/>
  <c r="O55" i="8"/>
  <c r="P55" i="8"/>
  <c r="Q55" i="8"/>
  <c r="R55" i="8"/>
  <c r="S55" i="8"/>
  <c r="B55" i="8"/>
  <c r="B170" i="16"/>
  <c r="B169" i="16"/>
  <c r="B168" i="16"/>
  <c r="B167" i="16"/>
  <c r="B166" i="16"/>
  <c r="B165" i="16"/>
  <c r="B164" i="16"/>
  <c r="B163" i="16"/>
  <c r="B162" i="16"/>
  <c r="B161" i="16"/>
  <c r="A161" i="16"/>
  <c r="A162" i="16"/>
  <c r="A163" i="16"/>
  <c r="A164" i="16"/>
  <c r="A165" i="16"/>
  <c r="A166" i="16"/>
  <c r="A167" i="16"/>
  <c r="A168" i="16"/>
  <c r="A169" i="16"/>
  <c r="A170" i="16"/>
  <c r="A160" i="16"/>
  <c r="B160" i="16"/>
  <c r="B138" i="8"/>
  <c r="B139" i="8"/>
  <c r="B147" i="8"/>
  <c r="B146" i="8"/>
  <c r="B145" i="8"/>
  <c r="B144" i="8"/>
  <c r="B143" i="8"/>
  <c r="B142" i="8"/>
  <c r="B141" i="8"/>
  <c r="B140" i="8"/>
  <c r="D2" i="21"/>
  <c r="B159" i="16" s="1"/>
  <c r="B2" i="21"/>
  <c r="B137" i="8" s="1"/>
  <c r="A145" i="8"/>
  <c r="A146" i="8"/>
  <c r="A147" i="8"/>
  <c r="A139" i="8"/>
  <c r="A140" i="8"/>
  <c r="A141" i="8"/>
  <c r="A142" i="8"/>
  <c r="A143" i="8"/>
  <c r="A144" i="8"/>
  <c r="A138" i="8"/>
  <c r="B20" i="22" l="1"/>
  <c r="C20" i="22"/>
  <c r="A8" i="5"/>
  <c r="C18" i="20" l="1"/>
  <c r="B18" i="20"/>
  <c r="C4" i="5" l="1"/>
  <c r="C3" i="5"/>
  <c r="C2" i="5"/>
  <c r="C17" i="20"/>
  <c r="B17" i="20"/>
  <c r="C33" i="8" l="1"/>
  <c r="D33" i="8"/>
  <c r="E33" i="8"/>
  <c r="F33" i="8"/>
  <c r="G33" i="8"/>
  <c r="H33" i="8"/>
  <c r="I33" i="8"/>
  <c r="J33" i="8"/>
  <c r="K33" i="8"/>
  <c r="L33" i="8"/>
  <c r="M33" i="8"/>
  <c r="N33" i="8"/>
  <c r="O33" i="8"/>
  <c r="P33" i="8"/>
  <c r="Q33" i="8"/>
  <c r="R33" i="8"/>
  <c r="S33" i="8"/>
  <c r="B33" i="8"/>
  <c r="D4" i="5" l="1"/>
  <c r="E4" i="5" s="1"/>
  <c r="A4" i="5"/>
  <c r="A133" i="8"/>
  <c r="A155" i="16"/>
  <c r="A145" i="16"/>
  <c r="N85" i="8"/>
  <c r="O85" i="8"/>
  <c r="P85" i="8"/>
  <c r="Q85" i="8"/>
  <c r="R85" i="8"/>
  <c r="N86" i="8"/>
  <c r="O86" i="8"/>
  <c r="P86" i="8"/>
  <c r="Q86" i="8"/>
  <c r="R86" i="8"/>
  <c r="S86" i="8"/>
  <c r="S85" i="8"/>
  <c r="S51" i="8" s="1"/>
  <c r="D7" i="5"/>
  <c r="E7" i="5" s="1"/>
  <c r="D6" i="5"/>
  <c r="E6" i="5" s="1"/>
  <c r="A132" i="8"/>
  <c r="A131" i="8"/>
  <c r="A130" i="8"/>
  <c r="A129" i="8"/>
  <c r="A128" i="8"/>
  <c r="A127" i="8"/>
  <c r="A126" i="8"/>
  <c r="A125" i="8"/>
  <c r="A124" i="8"/>
  <c r="A3" i="5"/>
  <c r="D3" i="5"/>
  <c r="E3" i="5" s="1"/>
  <c r="C76" i="16"/>
  <c r="D76" i="16"/>
  <c r="E76" i="16"/>
  <c r="F76" i="16"/>
  <c r="G76" i="16"/>
  <c r="H76" i="16"/>
  <c r="I76" i="16"/>
  <c r="J76" i="16"/>
  <c r="K76" i="16"/>
  <c r="L76" i="16"/>
  <c r="M76" i="16"/>
  <c r="N76" i="16"/>
  <c r="O76" i="16"/>
  <c r="P76" i="16"/>
  <c r="Q76" i="16"/>
  <c r="R76" i="16"/>
  <c r="S76" i="16"/>
  <c r="T76" i="16"/>
  <c r="B76" i="16"/>
  <c r="C71" i="16"/>
  <c r="D71" i="16"/>
  <c r="E71" i="16"/>
  <c r="F71" i="16"/>
  <c r="G71" i="16"/>
  <c r="H71" i="16"/>
  <c r="I71" i="16"/>
  <c r="J71" i="16"/>
  <c r="K71" i="16"/>
  <c r="L71" i="16"/>
  <c r="M71" i="16"/>
  <c r="N71" i="16"/>
  <c r="O71" i="16"/>
  <c r="P71" i="16"/>
  <c r="Q71" i="16"/>
  <c r="R71" i="16"/>
  <c r="S71" i="16"/>
  <c r="T71" i="16"/>
  <c r="B71" i="16"/>
  <c r="C66" i="16"/>
  <c r="D66" i="16"/>
  <c r="E66" i="16"/>
  <c r="F66" i="16"/>
  <c r="G66" i="16"/>
  <c r="H66" i="16"/>
  <c r="I66" i="16"/>
  <c r="J66" i="16"/>
  <c r="K66" i="16"/>
  <c r="L66" i="16"/>
  <c r="M66" i="16"/>
  <c r="N66" i="16"/>
  <c r="O66" i="16"/>
  <c r="P66" i="16"/>
  <c r="Q66" i="16"/>
  <c r="R66" i="16"/>
  <c r="S66" i="16"/>
  <c r="T66" i="16"/>
  <c r="B66" i="16"/>
  <c r="C61" i="16"/>
  <c r="D61" i="16"/>
  <c r="E61" i="16"/>
  <c r="F61" i="16"/>
  <c r="G61" i="16"/>
  <c r="H61" i="16"/>
  <c r="I61" i="16"/>
  <c r="J61" i="16"/>
  <c r="K61" i="16"/>
  <c r="L61" i="16"/>
  <c r="M61" i="16"/>
  <c r="N61" i="16"/>
  <c r="O61" i="16"/>
  <c r="P61" i="16"/>
  <c r="Q61" i="16"/>
  <c r="R61" i="16"/>
  <c r="S61" i="16"/>
  <c r="T61" i="16"/>
  <c r="B61" i="16"/>
  <c r="C56" i="16"/>
  <c r="D56" i="16"/>
  <c r="E56" i="16"/>
  <c r="F56" i="16"/>
  <c r="G56" i="16"/>
  <c r="H56" i="16"/>
  <c r="I56" i="16"/>
  <c r="J56" i="16"/>
  <c r="K56" i="16"/>
  <c r="L56" i="16"/>
  <c r="M56" i="16"/>
  <c r="N56" i="16"/>
  <c r="O56" i="16"/>
  <c r="P56" i="16"/>
  <c r="Q56" i="16"/>
  <c r="R56" i="16"/>
  <c r="S56" i="16"/>
  <c r="T56" i="16"/>
  <c r="B56" i="16"/>
  <c r="C66" i="8"/>
  <c r="D66" i="8"/>
  <c r="E66" i="8"/>
  <c r="F66" i="8"/>
  <c r="G66" i="8"/>
  <c r="H66" i="8"/>
  <c r="I66" i="8"/>
  <c r="J66" i="8"/>
  <c r="K66" i="8"/>
  <c r="L66" i="8"/>
  <c r="M66" i="8"/>
  <c r="N66" i="8"/>
  <c r="O66" i="8"/>
  <c r="P66" i="8"/>
  <c r="Q66" i="8"/>
  <c r="R66" i="8"/>
  <c r="S66" i="8"/>
  <c r="T66" i="8"/>
  <c r="B66" i="8"/>
  <c r="C61" i="8"/>
  <c r="D61" i="8"/>
  <c r="E61" i="8"/>
  <c r="F61" i="8"/>
  <c r="G61" i="8"/>
  <c r="H61" i="8"/>
  <c r="I61" i="8"/>
  <c r="J61" i="8"/>
  <c r="K61" i="8"/>
  <c r="L61" i="8"/>
  <c r="M61" i="8"/>
  <c r="N61" i="8"/>
  <c r="O61" i="8"/>
  <c r="P61" i="8"/>
  <c r="Q61" i="8"/>
  <c r="R61" i="8"/>
  <c r="S61" i="8"/>
  <c r="T61" i="8"/>
  <c r="B61" i="8"/>
  <c r="C56" i="8"/>
  <c r="D56" i="8"/>
  <c r="E56" i="8"/>
  <c r="F56" i="8"/>
  <c r="G56" i="8"/>
  <c r="H56" i="8"/>
  <c r="I56" i="8"/>
  <c r="J56" i="8"/>
  <c r="K56" i="8"/>
  <c r="L56" i="8"/>
  <c r="M56" i="8"/>
  <c r="N56" i="8"/>
  <c r="O56" i="8"/>
  <c r="P56" i="8"/>
  <c r="Q56" i="8"/>
  <c r="R56" i="8"/>
  <c r="S56" i="8"/>
  <c r="T56" i="8"/>
  <c r="B56" i="8"/>
  <c r="C50" i="8"/>
  <c r="D50" i="8"/>
  <c r="E50" i="8"/>
  <c r="F50" i="8"/>
  <c r="G50" i="8"/>
  <c r="H50" i="8"/>
  <c r="I50" i="8"/>
  <c r="J50" i="8"/>
  <c r="K50" i="8"/>
  <c r="L50" i="8"/>
  <c r="M50" i="8"/>
  <c r="N50" i="8"/>
  <c r="O50" i="8"/>
  <c r="P50" i="8"/>
  <c r="Q50" i="8"/>
  <c r="R50" i="8"/>
  <c r="S50" i="8"/>
  <c r="B50" i="8"/>
  <c r="C68" i="8"/>
  <c r="D68" i="8"/>
  <c r="E68" i="8"/>
  <c r="F68" i="8"/>
  <c r="G68" i="8"/>
  <c r="H68" i="8"/>
  <c r="I68" i="8"/>
  <c r="J68" i="8"/>
  <c r="K68" i="8"/>
  <c r="L68" i="8"/>
  <c r="M68" i="8"/>
  <c r="N68" i="8"/>
  <c r="O68" i="8"/>
  <c r="P68" i="8"/>
  <c r="Q68" i="8"/>
  <c r="R68" i="8"/>
  <c r="S68" i="8"/>
  <c r="B68" i="8"/>
  <c r="C63" i="8"/>
  <c r="D63" i="8"/>
  <c r="E63" i="8"/>
  <c r="F63" i="8"/>
  <c r="G63" i="8"/>
  <c r="H63" i="8"/>
  <c r="I63" i="8"/>
  <c r="J63" i="8"/>
  <c r="K63" i="8"/>
  <c r="L63" i="8"/>
  <c r="M63" i="8"/>
  <c r="N63" i="8"/>
  <c r="O63" i="8"/>
  <c r="P63" i="8"/>
  <c r="Q63" i="8"/>
  <c r="R63" i="8"/>
  <c r="S63" i="8"/>
  <c r="B63" i="8"/>
  <c r="C58" i="8"/>
  <c r="D58" i="8"/>
  <c r="E58" i="8"/>
  <c r="F58" i="8"/>
  <c r="G58" i="8"/>
  <c r="H58" i="8"/>
  <c r="I58" i="8"/>
  <c r="J58" i="8"/>
  <c r="K58" i="8"/>
  <c r="L58" i="8"/>
  <c r="M58" i="8"/>
  <c r="N58" i="8"/>
  <c r="O58" i="8"/>
  <c r="P58" i="8"/>
  <c r="Q58" i="8"/>
  <c r="R58" i="8"/>
  <c r="S58" i="8"/>
  <c r="B58" i="8"/>
  <c r="C52" i="8"/>
  <c r="D52" i="8"/>
  <c r="E52" i="8"/>
  <c r="F52" i="8"/>
  <c r="G52" i="8"/>
  <c r="H52" i="8"/>
  <c r="I52" i="8"/>
  <c r="J52" i="8"/>
  <c r="K52" i="8"/>
  <c r="L52" i="8"/>
  <c r="M52" i="8"/>
  <c r="N52" i="8"/>
  <c r="O52" i="8"/>
  <c r="P52" i="8"/>
  <c r="Q52" i="8"/>
  <c r="R52" i="8"/>
  <c r="S52" i="8"/>
  <c r="B52" i="8"/>
  <c r="B69" i="8"/>
  <c r="B65" i="8"/>
  <c r="B64" i="8"/>
  <c r="Q96" i="16"/>
  <c r="R96" i="16"/>
  <c r="S96" i="16"/>
  <c r="Q95" i="16"/>
  <c r="R95" i="16"/>
  <c r="S95" i="16"/>
  <c r="Q77" i="16"/>
  <c r="R77" i="16"/>
  <c r="S77" i="16"/>
  <c r="Q78" i="16"/>
  <c r="R78" i="16"/>
  <c r="S78" i="16"/>
  <c r="Q79" i="16"/>
  <c r="R79" i="16"/>
  <c r="S79" i="16"/>
  <c r="Q80" i="16"/>
  <c r="R80" i="16"/>
  <c r="S80" i="16"/>
  <c r="Q72" i="16"/>
  <c r="R72" i="16"/>
  <c r="S72" i="16"/>
  <c r="Q73" i="16"/>
  <c r="R73" i="16"/>
  <c r="S73" i="16"/>
  <c r="Q74" i="16"/>
  <c r="R74" i="16"/>
  <c r="S74" i="16"/>
  <c r="Q75" i="16"/>
  <c r="R75" i="16"/>
  <c r="S75" i="16"/>
  <c r="Q67" i="16"/>
  <c r="R67" i="16"/>
  <c r="S67" i="16"/>
  <c r="Q68" i="16"/>
  <c r="R68" i="16"/>
  <c r="S68" i="16"/>
  <c r="Q69" i="16"/>
  <c r="R69" i="16"/>
  <c r="S69" i="16"/>
  <c r="Q70" i="16"/>
  <c r="R70" i="16"/>
  <c r="S70" i="16"/>
  <c r="Q62" i="16"/>
  <c r="R62" i="16"/>
  <c r="S62" i="16"/>
  <c r="Q63" i="16"/>
  <c r="R63" i="16"/>
  <c r="S63" i="16"/>
  <c r="Q64" i="16"/>
  <c r="R64" i="16"/>
  <c r="S64" i="16"/>
  <c r="Q65" i="16"/>
  <c r="R65" i="16"/>
  <c r="S65" i="16"/>
  <c r="Q57" i="16"/>
  <c r="R57" i="16"/>
  <c r="S57" i="16"/>
  <c r="Q58" i="16"/>
  <c r="R58" i="16"/>
  <c r="S58" i="16"/>
  <c r="Q59" i="16"/>
  <c r="R59" i="16"/>
  <c r="S59" i="16"/>
  <c r="Q60" i="16"/>
  <c r="R60" i="16"/>
  <c r="S60" i="16"/>
  <c r="Q53" i="16"/>
  <c r="R53" i="16"/>
  <c r="S53" i="16"/>
  <c r="Q54" i="16"/>
  <c r="R54" i="16"/>
  <c r="S54" i="16"/>
  <c r="Q55" i="16"/>
  <c r="R55" i="16"/>
  <c r="S55" i="16"/>
  <c r="Q52" i="16"/>
  <c r="R52" i="16"/>
  <c r="S52" i="16"/>
  <c r="Q51" i="16"/>
  <c r="R51" i="16"/>
  <c r="S51" i="16"/>
  <c r="Q36" i="16"/>
  <c r="R36" i="16"/>
  <c r="S36" i="16"/>
  <c r="Q30" i="16"/>
  <c r="R30" i="16"/>
  <c r="S30" i="16"/>
  <c r="Q23" i="16"/>
  <c r="R23" i="16"/>
  <c r="S23" i="16"/>
  <c r="Q24" i="16"/>
  <c r="R24" i="16"/>
  <c r="S24" i="16"/>
  <c r="Q26" i="16"/>
  <c r="R26" i="16"/>
  <c r="S26" i="16"/>
  <c r="Q21" i="16"/>
  <c r="R21" i="16"/>
  <c r="S21" i="16"/>
  <c r="S22" i="16" s="1"/>
  <c r="Q35" i="16"/>
  <c r="R35" i="16"/>
  <c r="S35" i="16"/>
  <c r="T94" i="16"/>
  <c r="T57" i="16" s="1"/>
  <c r="B51" i="16"/>
  <c r="F116" i="16"/>
  <c r="F115" i="16"/>
  <c r="F114" i="16"/>
  <c r="F113" i="16"/>
  <c r="F112" i="16"/>
  <c r="F111" i="16"/>
  <c r="F110" i="16"/>
  <c r="F109" i="16"/>
  <c r="F108" i="16"/>
  <c r="F107" i="16"/>
  <c r="F106" i="16"/>
  <c r="F105" i="16"/>
  <c r="T97" i="16"/>
  <c r="T73" i="16" s="1"/>
  <c r="P96" i="16"/>
  <c r="O96" i="16"/>
  <c r="N96" i="16"/>
  <c r="P95" i="16"/>
  <c r="O95" i="16"/>
  <c r="N95" i="16"/>
  <c r="A82" i="16"/>
  <c r="P80" i="16"/>
  <c r="O80" i="16"/>
  <c r="N80" i="16"/>
  <c r="M80" i="16"/>
  <c r="L80" i="16"/>
  <c r="K80" i="16"/>
  <c r="J80" i="16"/>
  <c r="I80" i="16"/>
  <c r="H80" i="16"/>
  <c r="G80" i="16"/>
  <c r="F80" i="16"/>
  <c r="E80" i="16"/>
  <c r="D80" i="16"/>
  <c r="C80" i="16"/>
  <c r="B80" i="16"/>
  <c r="P79" i="16"/>
  <c r="O79" i="16"/>
  <c r="N79" i="16"/>
  <c r="M79" i="16"/>
  <c r="L79" i="16"/>
  <c r="K79" i="16"/>
  <c r="J79" i="16"/>
  <c r="I79" i="16"/>
  <c r="H79" i="16"/>
  <c r="G79" i="16"/>
  <c r="F79" i="16"/>
  <c r="E79" i="16"/>
  <c r="D79" i="16"/>
  <c r="C79" i="16"/>
  <c r="B79" i="16"/>
  <c r="P78" i="16"/>
  <c r="O78" i="16"/>
  <c r="N78" i="16"/>
  <c r="M78" i="16"/>
  <c r="L78" i="16"/>
  <c r="K78" i="16"/>
  <c r="J78" i="16"/>
  <c r="I78" i="16"/>
  <c r="H78" i="16"/>
  <c r="G78" i="16"/>
  <c r="F78" i="16"/>
  <c r="E78" i="16"/>
  <c r="D78" i="16"/>
  <c r="C78" i="16"/>
  <c r="B78" i="16"/>
  <c r="P77" i="16"/>
  <c r="O77" i="16"/>
  <c r="N77" i="16"/>
  <c r="M77" i="16"/>
  <c r="L77" i="16"/>
  <c r="K77" i="16"/>
  <c r="J77" i="16"/>
  <c r="I77" i="16"/>
  <c r="H77" i="16"/>
  <c r="G77" i="16"/>
  <c r="F77" i="16"/>
  <c r="E77" i="16"/>
  <c r="D77" i="16"/>
  <c r="C77" i="16"/>
  <c r="B77" i="16"/>
  <c r="P75" i="16"/>
  <c r="O75" i="16"/>
  <c r="N75" i="16"/>
  <c r="M75" i="16"/>
  <c r="L75" i="16"/>
  <c r="K75" i="16"/>
  <c r="J75" i="16"/>
  <c r="I75" i="16"/>
  <c r="H75" i="16"/>
  <c r="G75" i="16"/>
  <c r="F75" i="16"/>
  <c r="E75" i="16"/>
  <c r="D75" i="16"/>
  <c r="C75" i="16"/>
  <c r="B75" i="16"/>
  <c r="P74" i="16"/>
  <c r="O74" i="16"/>
  <c r="N74" i="16"/>
  <c r="M74" i="16"/>
  <c r="L74" i="16"/>
  <c r="K74" i="16"/>
  <c r="J74" i="16"/>
  <c r="I74" i="16"/>
  <c r="H74" i="16"/>
  <c r="G74" i="16"/>
  <c r="F74" i="16"/>
  <c r="E74" i="16"/>
  <c r="D74" i="16"/>
  <c r="C74" i="16"/>
  <c r="B74" i="16"/>
  <c r="P73" i="16"/>
  <c r="O73" i="16"/>
  <c r="N73" i="16"/>
  <c r="M73" i="16"/>
  <c r="L73" i="16"/>
  <c r="K73" i="16"/>
  <c r="J73" i="16"/>
  <c r="I73" i="16"/>
  <c r="H73" i="16"/>
  <c r="G73" i="16"/>
  <c r="F73" i="16"/>
  <c r="E73" i="16"/>
  <c r="D73" i="16"/>
  <c r="C73" i="16"/>
  <c r="B73" i="16"/>
  <c r="P72" i="16"/>
  <c r="O72" i="16"/>
  <c r="N72" i="16"/>
  <c r="M72" i="16"/>
  <c r="L72" i="16"/>
  <c r="K72" i="16"/>
  <c r="J72" i="16"/>
  <c r="I72" i="16"/>
  <c r="H72" i="16"/>
  <c r="G72" i="16"/>
  <c r="F72" i="16"/>
  <c r="E72" i="16"/>
  <c r="D72" i="16"/>
  <c r="C72" i="16"/>
  <c r="B72" i="16"/>
  <c r="P70" i="16"/>
  <c r="O70" i="16"/>
  <c r="N70" i="16"/>
  <c r="M70" i="16"/>
  <c r="L70" i="16"/>
  <c r="K70" i="16"/>
  <c r="J70" i="16"/>
  <c r="I70" i="16"/>
  <c r="H70" i="16"/>
  <c r="G70" i="16"/>
  <c r="F70" i="16"/>
  <c r="E70" i="16"/>
  <c r="D70" i="16"/>
  <c r="C70" i="16"/>
  <c r="B70" i="16"/>
  <c r="P69" i="16"/>
  <c r="O69" i="16"/>
  <c r="N69" i="16"/>
  <c r="M69" i="16"/>
  <c r="L69" i="16"/>
  <c r="K69" i="16"/>
  <c r="J69" i="16"/>
  <c r="I69" i="16"/>
  <c r="H69" i="16"/>
  <c r="G69" i="16"/>
  <c r="F69" i="16"/>
  <c r="E69" i="16"/>
  <c r="D69" i="16"/>
  <c r="C69" i="16"/>
  <c r="B69" i="16"/>
  <c r="P68" i="16"/>
  <c r="O68" i="16"/>
  <c r="N68" i="16"/>
  <c r="M68" i="16"/>
  <c r="L68" i="16"/>
  <c r="K68" i="16"/>
  <c r="J68" i="16"/>
  <c r="I68" i="16"/>
  <c r="H68" i="16"/>
  <c r="G68" i="16"/>
  <c r="F68" i="16"/>
  <c r="E68" i="16"/>
  <c r="D68" i="16"/>
  <c r="C68" i="16"/>
  <c r="B68" i="16"/>
  <c r="P67" i="16"/>
  <c r="O67" i="16"/>
  <c r="N67" i="16"/>
  <c r="M67" i="16"/>
  <c r="L67" i="16"/>
  <c r="K67" i="16"/>
  <c r="J67" i="16"/>
  <c r="I67" i="16"/>
  <c r="H67" i="16"/>
  <c r="G67" i="16"/>
  <c r="F67" i="16"/>
  <c r="E67" i="16"/>
  <c r="D67" i="16"/>
  <c r="C67" i="16"/>
  <c r="B67" i="16"/>
  <c r="P65" i="16"/>
  <c r="O65" i="16"/>
  <c r="N65" i="16"/>
  <c r="M65" i="16"/>
  <c r="L65" i="16"/>
  <c r="K65" i="16"/>
  <c r="J65" i="16"/>
  <c r="I65" i="16"/>
  <c r="H65" i="16"/>
  <c r="G65" i="16"/>
  <c r="F65" i="16"/>
  <c r="E65" i="16"/>
  <c r="D65" i="16"/>
  <c r="C65" i="16"/>
  <c r="B65" i="16"/>
  <c r="P64" i="16"/>
  <c r="O64" i="16"/>
  <c r="N64" i="16"/>
  <c r="M64" i="16"/>
  <c r="L64" i="16"/>
  <c r="K64" i="16"/>
  <c r="J64" i="16"/>
  <c r="I64" i="16"/>
  <c r="H64" i="16"/>
  <c r="G64" i="16"/>
  <c r="F64" i="16"/>
  <c r="E64" i="16"/>
  <c r="D64" i="16"/>
  <c r="C64" i="16"/>
  <c r="B64" i="16"/>
  <c r="P63" i="16"/>
  <c r="O63" i="16"/>
  <c r="N63" i="16"/>
  <c r="M63" i="16"/>
  <c r="L63" i="16"/>
  <c r="K63" i="16"/>
  <c r="J63" i="16"/>
  <c r="I63" i="16"/>
  <c r="H63" i="16"/>
  <c r="G63" i="16"/>
  <c r="F63" i="16"/>
  <c r="E63" i="16"/>
  <c r="D63" i="16"/>
  <c r="C63" i="16"/>
  <c r="B63" i="16"/>
  <c r="P62" i="16"/>
  <c r="O62" i="16"/>
  <c r="N62" i="16"/>
  <c r="M62" i="16"/>
  <c r="L62" i="16"/>
  <c r="K62" i="16"/>
  <c r="J62" i="16"/>
  <c r="I62" i="16"/>
  <c r="H62" i="16"/>
  <c r="G62" i="16"/>
  <c r="F62" i="16"/>
  <c r="E62" i="16"/>
  <c r="D62" i="16"/>
  <c r="C62" i="16"/>
  <c r="B62" i="16"/>
  <c r="P60" i="16"/>
  <c r="O60" i="16"/>
  <c r="N60" i="16"/>
  <c r="M60" i="16"/>
  <c r="L60" i="16"/>
  <c r="K60" i="16"/>
  <c r="J60" i="16"/>
  <c r="I60" i="16"/>
  <c r="H60" i="16"/>
  <c r="G60" i="16"/>
  <c r="F60" i="16"/>
  <c r="E60" i="16"/>
  <c r="D60" i="16"/>
  <c r="C60" i="16"/>
  <c r="B60" i="16"/>
  <c r="P59" i="16"/>
  <c r="O59" i="16"/>
  <c r="N59" i="16"/>
  <c r="M59" i="16"/>
  <c r="L59" i="16"/>
  <c r="K59" i="16"/>
  <c r="J59" i="16"/>
  <c r="I59" i="16"/>
  <c r="H59" i="16"/>
  <c r="G59" i="16"/>
  <c r="F59" i="16"/>
  <c r="E59" i="16"/>
  <c r="D59" i="16"/>
  <c r="C59" i="16"/>
  <c r="B59" i="16"/>
  <c r="P58" i="16"/>
  <c r="O58" i="16"/>
  <c r="N58" i="16"/>
  <c r="M58" i="16"/>
  <c r="L58" i="16"/>
  <c r="K58" i="16"/>
  <c r="J58" i="16"/>
  <c r="I58" i="16"/>
  <c r="H58" i="16"/>
  <c r="G58" i="16"/>
  <c r="F58" i="16"/>
  <c r="E58" i="16"/>
  <c r="D58" i="16"/>
  <c r="C58" i="16"/>
  <c r="B58" i="16"/>
  <c r="P57" i="16"/>
  <c r="O57" i="16"/>
  <c r="N57" i="16"/>
  <c r="M57" i="16"/>
  <c r="L57" i="16"/>
  <c r="K57" i="16"/>
  <c r="J57" i="16"/>
  <c r="I57" i="16"/>
  <c r="H57" i="16"/>
  <c r="G57" i="16"/>
  <c r="F57" i="16"/>
  <c r="E57" i="16"/>
  <c r="D57" i="16"/>
  <c r="C57" i="16"/>
  <c r="B57" i="16"/>
  <c r="P55" i="16"/>
  <c r="O55" i="16"/>
  <c r="N55" i="16"/>
  <c r="M55" i="16"/>
  <c r="L55" i="16"/>
  <c r="K55" i="16"/>
  <c r="J55" i="16"/>
  <c r="I55" i="16"/>
  <c r="H55" i="16"/>
  <c r="G55" i="16"/>
  <c r="F55" i="16"/>
  <c r="E55" i="16"/>
  <c r="D55" i="16"/>
  <c r="C55" i="16"/>
  <c r="B55" i="16"/>
  <c r="P54" i="16"/>
  <c r="O54" i="16"/>
  <c r="N54" i="16"/>
  <c r="M54" i="16"/>
  <c r="L54" i="16"/>
  <c r="K54" i="16"/>
  <c r="J54" i="16"/>
  <c r="I54" i="16"/>
  <c r="H54" i="16"/>
  <c r="G54" i="16"/>
  <c r="F54" i="16"/>
  <c r="E54" i="16"/>
  <c r="D54" i="16"/>
  <c r="C54" i="16"/>
  <c r="B54" i="16"/>
  <c r="P53" i="16"/>
  <c r="O53" i="16"/>
  <c r="N53" i="16"/>
  <c r="M53" i="16"/>
  <c r="L53" i="16"/>
  <c r="K53" i="16"/>
  <c r="J53" i="16"/>
  <c r="I53" i="16"/>
  <c r="H53" i="16"/>
  <c r="G53" i="16"/>
  <c r="F53" i="16"/>
  <c r="E53" i="16"/>
  <c r="D53" i="16"/>
  <c r="C53" i="16"/>
  <c r="B53" i="16"/>
  <c r="T52" i="16"/>
  <c r="P52" i="16"/>
  <c r="O52" i="16"/>
  <c r="N52" i="16"/>
  <c r="M52" i="16"/>
  <c r="L52" i="16"/>
  <c r="K52" i="16"/>
  <c r="J52" i="16"/>
  <c r="I52" i="16"/>
  <c r="H52" i="16"/>
  <c r="G52" i="16"/>
  <c r="F52" i="16"/>
  <c r="E52" i="16"/>
  <c r="D52" i="16"/>
  <c r="C52" i="16"/>
  <c r="B52" i="16"/>
  <c r="T51" i="16"/>
  <c r="P51" i="16"/>
  <c r="O51" i="16"/>
  <c r="N51" i="16"/>
  <c r="M51" i="16"/>
  <c r="L51" i="16"/>
  <c r="K51" i="16"/>
  <c r="J51" i="16"/>
  <c r="I51" i="16"/>
  <c r="H51" i="16"/>
  <c r="G51" i="16"/>
  <c r="F51" i="16"/>
  <c r="E51" i="16"/>
  <c r="D51" i="16"/>
  <c r="C51" i="16"/>
  <c r="N36" i="16"/>
  <c r="M36" i="16"/>
  <c r="L36" i="16"/>
  <c r="K36" i="16"/>
  <c r="J36" i="16"/>
  <c r="I36" i="16"/>
  <c r="H36" i="16"/>
  <c r="G36" i="16"/>
  <c r="F36" i="16"/>
  <c r="E36" i="16"/>
  <c r="D36" i="16"/>
  <c r="C36" i="16"/>
  <c r="B36" i="16"/>
  <c r="P30" i="16"/>
  <c r="O30" i="16"/>
  <c r="N30" i="16"/>
  <c r="P26" i="16"/>
  <c r="O26" i="16"/>
  <c r="N26" i="16"/>
  <c r="T24" i="16"/>
  <c r="M24" i="16"/>
  <c r="L24" i="16"/>
  <c r="K24" i="16"/>
  <c r="J24" i="16"/>
  <c r="I24" i="16"/>
  <c r="H24" i="16"/>
  <c r="G24" i="16"/>
  <c r="F24" i="16"/>
  <c r="E24" i="16"/>
  <c r="D24" i="16"/>
  <c r="C24" i="16"/>
  <c r="B24" i="16"/>
  <c r="N23" i="16"/>
  <c r="G23" i="16"/>
  <c r="C23" i="16"/>
  <c r="B23" i="16"/>
  <c r="T19" i="16"/>
  <c r="T21" i="16" s="1"/>
  <c r="T22" i="16" s="1"/>
  <c r="T26" i="16" s="1"/>
  <c r="P18" i="16"/>
  <c r="O18" i="16"/>
  <c r="N18" i="16"/>
  <c r="M18" i="16"/>
  <c r="L18" i="16"/>
  <c r="K18" i="16"/>
  <c r="B18" i="16"/>
  <c r="G30" i="16"/>
  <c r="T72" i="16"/>
  <c r="T55" i="16"/>
  <c r="I23" i="16"/>
  <c r="D23" i="16"/>
  <c r="K23" i="16"/>
  <c r="F23" i="16"/>
  <c r="M23" i="16"/>
  <c r="O21" i="16"/>
  <c r="O22" i="16" s="1"/>
  <c r="K21" i="16"/>
  <c r="K22" i="16" s="1"/>
  <c r="G21" i="16"/>
  <c r="C21" i="16"/>
  <c r="N21" i="16"/>
  <c r="N22" i="16" s="1"/>
  <c r="F21" i="16"/>
  <c r="F22" i="16" s="1"/>
  <c r="B21" i="16"/>
  <c r="I21" i="16"/>
  <c r="H21" i="16"/>
  <c r="H22" i="16" s="1"/>
  <c r="H26" i="16" s="1"/>
  <c r="J21" i="16"/>
  <c r="J22" i="16" s="1"/>
  <c r="J26" i="16" s="1"/>
  <c r="M21" i="16"/>
  <c r="M22" i="16" s="1"/>
  <c r="M26" i="16" s="1"/>
  <c r="E21" i="16"/>
  <c r="E22" i="16" s="1"/>
  <c r="E26" i="16" s="1"/>
  <c r="P21" i="16"/>
  <c r="L21" i="16"/>
  <c r="L22" i="16" s="1"/>
  <c r="D21" i="16"/>
  <c r="D22" i="16" s="1"/>
  <c r="P24" i="16"/>
  <c r="J30" i="16"/>
  <c r="F30" i="16"/>
  <c r="B30" i="16"/>
  <c r="M30" i="16"/>
  <c r="I30" i="16"/>
  <c r="E30" i="16"/>
  <c r="H30" i="16"/>
  <c r="O24" i="16"/>
  <c r="C30" i="16"/>
  <c r="K30" i="16"/>
  <c r="T30" i="16"/>
  <c r="T23" i="16"/>
  <c r="P23" i="16"/>
  <c r="L23" i="16"/>
  <c r="H23" i="16"/>
  <c r="E23" i="16"/>
  <c r="J23" i="16"/>
  <c r="O23" i="16"/>
  <c r="N24" i="16"/>
  <c r="D30" i="16"/>
  <c r="L30" i="16"/>
  <c r="T64" i="16"/>
  <c r="T62" i="16"/>
  <c r="A72" i="8"/>
  <c r="A9" i="5"/>
  <c r="A10" i="5"/>
  <c r="A7" i="5"/>
  <c r="A6" i="5"/>
  <c r="N30" i="8"/>
  <c r="O30" i="8"/>
  <c r="P30" i="8"/>
  <c r="Q30" i="8"/>
  <c r="R30" i="8"/>
  <c r="S30" i="8"/>
  <c r="B11" i="8"/>
  <c r="D30" i="8" s="1"/>
  <c r="C67" i="8"/>
  <c r="D67" i="8"/>
  <c r="E67" i="8"/>
  <c r="F67" i="8"/>
  <c r="G67" i="8"/>
  <c r="H67" i="8"/>
  <c r="I67" i="8"/>
  <c r="J67" i="8"/>
  <c r="K67" i="8"/>
  <c r="L67" i="8"/>
  <c r="M67" i="8"/>
  <c r="N67" i="8"/>
  <c r="O67" i="8"/>
  <c r="P67" i="8"/>
  <c r="Q67" i="8"/>
  <c r="R67" i="8"/>
  <c r="S67" i="8"/>
  <c r="B67" i="8"/>
  <c r="C62" i="8"/>
  <c r="D62" i="8"/>
  <c r="E62" i="8"/>
  <c r="F62" i="8"/>
  <c r="G62" i="8"/>
  <c r="H62" i="8"/>
  <c r="I62" i="8"/>
  <c r="J62" i="8"/>
  <c r="K62" i="8"/>
  <c r="L62" i="8"/>
  <c r="M62" i="8"/>
  <c r="N62" i="8"/>
  <c r="O62" i="8"/>
  <c r="P62" i="8"/>
  <c r="Q62" i="8"/>
  <c r="R62" i="8"/>
  <c r="S62" i="8"/>
  <c r="B62" i="8"/>
  <c r="C57" i="8"/>
  <c r="D57" i="8"/>
  <c r="E57" i="8"/>
  <c r="F57" i="8"/>
  <c r="G57" i="8"/>
  <c r="H57" i="8"/>
  <c r="I57" i="8"/>
  <c r="J57" i="8"/>
  <c r="K57" i="8"/>
  <c r="L57" i="8"/>
  <c r="M57" i="8"/>
  <c r="N57" i="8"/>
  <c r="O57" i="8"/>
  <c r="P57" i="8"/>
  <c r="Q57" i="8"/>
  <c r="R57" i="8"/>
  <c r="S57" i="8"/>
  <c r="B57" i="8"/>
  <c r="S70" i="8"/>
  <c r="R70" i="8"/>
  <c r="Q70" i="8"/>
  <c r="P70" i="8"/>
  <c r="O70" i="8"/>
  <c r="N70" i="8"/>
  <c r="M70" i="8"/>
  <c r="L70" i="8"/>
  <c r="K70" i="8"/>
  <c r="J70" i="8"/>
  <c r="I70" i="8"/>
  <c r="H70" i="8"/>
  <c r="G70" i="8"/>
  <c r="F70" i="8"/>
  <c r="E70" i="8"/>
  <c r="D70" i="8"/>
  <c r="C70" i="8"/>
  <c r="B70" i="8"/>
  <c r="S69" i="8"/>
  <c r="R69" i="8"/>
  <c r="Q69" i="8"/>
  <c r="P69" i="8"/>
  <c r="O69" i="8"/>
  <c r="N69" i="8"/>
  <c r="M69" i="8"/>
  <c r="L69" i="8"/>
  <c r="K69" i="8"/>
  <c r="J69" i="8"/>
  <c r="I69" i="8"/>
  <c r="H69" i="8"/>
  <c r="G69" i="8"/>
  <c r="F69" i="8"/>
  <c r="E69" i="8"/>
  <c r="D69" i="8"/>
  <c r="C69" i="8"/>
  <c r="S65" i="8"/>
  <c r="R65" i="8"/>
  <c r="Q65" i="8"/>
  <c r="P65" i="8"/>
  <c r="O65" i="8"/>
  <c r="N65" i="8"/>
  <c r="M65" i="8"/>
  <c r="L65" i="8"/>
  <c r="K65" i="8"/>
  <c r="J65" i="8"/>
  <c r="I65" i="8"/>
  <c r="H65" i="8"/>
  <c r="G65" i="8"/>
  <c r="F65" i="8"/>
  <c r="E65" i="8"/>
  <c r="D65" i="8"/>
  <c r="C65" i="8"/>
  <c r="S64" i="8"/>
  <c r="R64" i="8"/>
  <c r="Q64" i="8"/>
  <c r="P64" i="8"/>
  <c r="O64" i="8"/>
  <c r="N64" i="8"/>
  <c r="M64" i="8"/>
  <c r="L64" i="8"/>
  <c r="K64" i="8"/>
  <c r="J64" i="8"/>
  <c r="I64" i="8"/>
  <c r="H64" i="8"/>
  <c r="G64" i="8"/>
  <c r="F64" i="8"/>
  <c r="E64" i="8"/>
  <c r="D64" i="8"/>
  <c r="C64" i="8"/>
  <c r="S60" i="8"/>
  <c r="R60" i="8"/>
  <c r="Q60" i="8"/>
  <c r="P60" i="8"/>
  <c r="O60" i="8"/>
  <c r="N60" i="8"/>
  <c r="M60" i="8"/>
  <c r="L60" i="8"/>
  <c r="K60" i="8"/>
  <c r="J60" i="8"/>
  <c r="I60" i="8"/>
  <c r="H60" i="8"/>
  <c r="G60" i="8"/>
  <c r="F60" i="8"/>
  <c r="E60" i="8"/>
  <c r="D60" i="8"/>
  <c r="C60" i="8"/>
  <c r="B60" i="8"/>
  <c r="S59" i="8"/>
  <c r="R59" i="8"/>
  <c r="Q59" i="8"/>
  <c r="P59" i="8"/>
  <c r="O59" i="8"/>
  <c r="N59" i="8"/>
  <c r="M59" i="8"/>
  <c r="L59" i="8"/>
  <c r="K59" i="8"/>
  <c r="J59" i="8"/>
  <c r="I59" i="8"/>
  <c r="H59" i="8"/>
  <c r="G59" i="8"/>
  <c r="F59" i="8"/>
  <c r="E59" i="8"/>
  <c r="D59" i="8"/>
  <c r="C59" i="8"/>
  <c r="B59" i="8"/>
  <c r="S54" i="8"/>
  <c r="R54" i="8"/>
  <c r="Q54" i="8"/>
  <c r="P54" i="8"/>
  <c r="O54" i="8"/>
  <c r="N54" i="8"/>
  <c r="M54" i="8"/>
  <c r="L54" i="8"/>
  <c r="K54" i="8"/>
  <c r="J54" i="8"/>
  <c r="I54" i="8"/>
  <c r="H54" i="8"/>
  <c r="G54" i="8"/>
  <c r="F54" i="8"/>
  <c r="E54" i="8"/>
  <c r="D54" i="8"/>
  <c r="C54" i="8"/>
  <c r="B54" i="8"/>
  <c r="S53" i="8"/>
  <c r="R53" i="8"/>
  <c r="Q53" i="8"/>
  <c r="P53" i="8"/>
  <c r="O53" i="8"/>
  <c r="N53" i="8"/>
  <c r="M53" i="8"/>
  <c r="L53" i="8"/>
  <c r="K53" i="8"/>
  <c r="J53" i="8"/>
  <c r="I53" i="8"/>
  <c r="H53" i="8"/>
  <c r="G53" i="8"/>
  <c r="F53" i="8"/>
  <c r="E53" i="8"/>
  <c r="D53" i="8"/>
  <c r="C53" i="8"/>
  <c r="B53" i="8"/>
  <c r="T87" i="8"/>
  <c r="T30" i="8"/>
  <c r="B30" i="8"/>
  <c r="M30" i="8"/>
  <c r="K30" i="8"/>
  <c r="I30" i="8"/>
  <c r="G30" i="8"/>
  <c r="E30" i="8"/>
  <c r="C30" i="8"/>
  <c r="L30" i="8"/>
  <c r="J30" i="8"/>
  <c r="H30" i="8"/>
  <c r="F30" i="8"/>
  <c r="N35" i="16"/>
  <c r="J35" i="16"/>
  <c r="M35" i="16"/>
  <c r="G35" i="16"/>
  <c r="D35" i="16"/>
  <c r="E35" i="16"/>
  <c r="F35" i="16"/>
  <c r="K35" i="16"/>
  <c r="L35" i="16"/>
  <c r="C35" i="16"/>
  <c r="B35" i="16"/>
  <c r="H35" i="16"/>
  <c r="I35" i="16"/>
  <c r="D2" i="5"/>
  <c r="E2" i="5" s="1"/>
  <c r="P35" i="16"/>
  <c r="O35" i="16"/>
  <c r="O36" i="16"/>
  <c r="P36" i="16"/>
  <c r="T36" i="16"/>
  <c r="A2" i="5"/>
  <c r="F103" i="8"/>
  <c r="F102" i="8"/>
  <c r="F101" i="8"/>
  <c r="F100" i="8"/>
  <c r="F99" i="8"/>
  <c r="F98" i="8"/>
  <c r="F96" i="8"/>
  <c r="F95" i="8"/>
  <c r="B88" i="8" a="1"/>
  <c r="B88" i="8" s="1"/>
  <c r="T84" i="8"/>
  <c r="T36" i="8"/>
  <c r="R36" i="8"/>
  <c r="P36" i="8"/>
  <c r="O36" i="8"/>
  <c r="N36" i="8"/>
  <c r="M36" i="8"/>
  <c r="L36" i="8"/>
  <c r="K36" i="8"/>
  <c r="J36" i="8"/>
  <c r="I36" i="8"/>
  <c r="H36" i="8"/>
  <c r="G36" i="8"/>
  <c r="F36" i="8"/>
  <c r="E36" i="8"/>
  <c r="D36" i="8"/>
  <c r="B36" i="8"/>
  <c r="S26" i="8"/>
  <c r="R26" i="8"/>
  <c r="Q26" i="8"/>
  <c r="P26" i="8"/>
  <c r="O26" i="8"/>
  <c r="N26" i="8"/>
  <c r="T24" i="8"/>
  <c r="M24" i="8"/>
  <c r="L24" i="8"/>
  <c r="J24" i="8"/>
  <c r="H24" i="8"/>
  <c r="G24" i="8"/>
  <c r="F24" i="8"/>
  <c r="E24" i="8"/>
  <c r="D24" i="8"/>
  <c r="C24" i="8"/>
  <c r="B24" i="8"/>
  <c r="S18" i="8"/>
  <c r="R18" i="8"/>
  <c r="Q18" i="8"/>
  <c r="P18" i="8"/>
  <c r="O18" i="8"/>
  <c r="N18" i="8"/>
  <c r="M18" i="8"/>
  <c r="L18" i="8"/>
  <c r="K18" i="8"/>
  <c r="B18" i="8"/>
  <c r="B10" i="8"/>
  <c r="Q24" i="8" s="1"/>
  <c r="B9" i="8"/>
  <c r="B23" i="8" s="1"/>
  <c r="B7" i="8"/>
  <c r="B8" i="8" s="1"/>
  <c r="B3" i="8"/>
  <c r="C36" i="8"/>
  <c r="S36" i="8"/>
  <c r="Q36" i="8"/>
  <c r="C35" i="8"/>
  <c r="Q35" i="8"/>
  <c r="S35" i="8"/>
  <c r="R35" i="8"/>
  <c r="J35" i="8"/>
  <c r="B35" i="8"/>
  <c r="T35" i="8"/>
  <c r="L35" i="8"/>
  <c r="D35" i="8"/>
  <c r="M35" i="8"/>
  <c r="I35" i="8"/>
  <c r="E35" i="8"/>
  <c r="N35" i="8"/>
  <c r="F35" i="8"/>
  <c r="P35" i="8"/>
  <c r="H35" i="8"/>
  <c r="O35" i="8"/>
  <c r="K35" i="8"/>
  <c r="G35" i="8"/>
  <c r="R51" i="8"/>
  <c r="O51" i="8"/>
  <c r="P51" i="8"/>
  <c r="N51" i="8"/>
  <c r="Q51" i="8"/>
  <c r="B98" i="16" a="1"/>
  <c r="B98" i="16" s="1"/>
  <c r="T35" i="16"/>
  <c r="N24" i="8"/>
  <c r="O48" i="16" l="1"/>
  <c r="O44" i="16"/>
  <c r="O49" i="16"/>
  <c r="O39" i="16"/>
  <c r="O42" i="16"/>
  <c r="O43" i="16"/>
  <c r="O40" i="16"/>
  <c r="O41" i="16"/>
  <c r="O46" i="16"/>
  <c r="O34" i="16"/>
  <c r="O37" i="16" s="1"/>
  <c r="O45" i="16"/>
  <c r="O47" i="16"/>
  <c r="F34" i="16"/>
  <c r="F37" i="16" s="1"/>
  <c r="F48" i="16"/>
  <c r="F43" i="16"/>
  <c r="F49" i="16"/>
  <c r="F47" i="16"/>
  <c r="F45" i="16"/>
  <c r="F46" i="16"/>
  <c r="F41" i="16"/>
  <c r="F44" i="16"/>
  <c r="F42" i="16"/>
  <c r="F40" i="16"/>
  <c r="F39" i="16"/>
  <c r="N48" i="16"/>
  <c r="N40" i="16"/>
  <c r="N39" i="16"/>
  <c r="N34" i="16"/>
  <c r="N37" i="16" s="1"/>
  <c r="N44" i="16"/>
  <c r="N43" i="16"/>
  <c r="N41" i="16"/>
  <c r="N45" i="16"/>
  <c r="N42" i="16"/>
  <c r="N47" i="16"/>
  <c r="N49" i="16"/>
  <c r="N46" i="16"/>
  <c r="G46" i="16"/>
  <c r="G40" i="16"/>
  <c r="G49" i="16"/>
  <c r="G39" i="16"/>
  <c r="G48" i="16"/>
  <c r="G45" i="16"/>
  <c r="G47" i="16"/>
  <c r="G34" i="16"/>
  <c r="G37" i="16" s="1"/>
  <c r="G43" i="16"/>
  <c r="G41" i="16"/>
  <c r="G44" i="16"/>
  <c r="G42" i="16"/>
  <c r="S41" i="16"/>
  <c r="S40" i="16"/>
  <c r="S48" i="16"/>
  <c r="S45" i="16"/>
  <c r="S43" i="16"/>
  <c r="S47" i="16"/>
  <c r="S39" i="16"/>
  <c r="S42" i="16"/>
  <c r="S34" i="16"/>
  <c r="S37" i="16" s="1"/>
  <c r="S49" i="16"/>
  <c r="S46" i="16"/>
  <c r="S44" i="16"/>
  <c r="H34" i="16"/>
  <c r="H37" i="16" s="1"/>
  <c r="H48" i="16"/>
  <c r="H40" i="16"/>
  <c r="H39" i="16"/>
  <c r="H45" i="16"/>
  <c r="H49" i="16"/>
  <c r="H46" i="16"/>
  <c r="H44" i="16"/>
  <c r="H42" i="16"/>
  <c r="H43" i="16"/>
  <c r="H41" i="16"/>
  <c r="H47" i="16"/>
  <c r="R48" i="16"/>
  <c r="R46" i="16"/>
  <c r="R44" i="16"/>
  <c r="R40" i="16"/>
  <c r="R43" i="16"/>
  <c r="R34" i="16"/>
  <c r="R37" i="16" s="1"/>
  <c r="R47" i="16"/>
  <c r="R42" i="16"/>
  <c r="R41" i="16"/>
  <c r="R49" i="16"/>
  <c r="R39" i="16"/>
  <c r="R45" i="16"/>
  <c r="Q42" i="16"/>
  <c r="Q48" i="16"/>
  <c r="Q41" i="16"/>
  <c r="Q46" i="16"/>
  <c r="Q44" i="16"/>
  <c r="Q34" i="16"/>
  <c r="Q37" i="16" s="1"/>
  <c r="Q43" i="16"/>
  <c r="Q47" i="16"/>
  <c r="Q39" i="16"/>
  <c r="Q45" i="16"/>
  <c r="Q49" i="16"/>
  <c r="Q40" i="16"/>
  <c r="B40" i="16"/>
  <c r="B42" i="16"/>
  <c r="B43" i="16"/>
  <c r="B45" i="16"/>
  <c r="B48" i="16"/>
  <c r="B39" i="16"/>
  <c r="B49" i="16"/>
  <c r="B34" i="16"/>
  <c r="B37" i="16" s="1"/>
  <c r="B47" i="16"/>
  <c r="B44" i="16"/>
  <c r="B41" i="16"/>
  <c r="B46" i="16"/>
  <c r="J48" i="16"/>
  <c r="J46" i="16"/>
  <c r="J45" i="16"/>
  <c r="J43" i="16"/>
  <c r="J44" i="16"/>
  <c r="J49" i="16"/>
  <c r="J47" i="16"/>
  <c r="J42" i="16"/>
  <c r="J39" i="16"/>
  <c r="J34" i="16"/>
  <c r="J37" i="16" s="1"/>
  <c r="J41" i="16"/>
  <c r="J40" i="16"/>
  <c r="Q25" i="16"/>
  <c r="Q27" i="16" s="1"/>
  <c r="T68" i="8"/>
  <c r="T55" i="8"/>
  <c r="C40" i="16"/>
  <c r="C41" i="16"/>
  <c r="C47" i="16"/>
  <c r="C48" i="16"/>
  <c r="C45" i="16"/>
  <c r="C43" i="16"/>
  <c r="C42" i="16"/>
  <c r="C34" i="16"/>
  <c r="C37" i="16" s="1"/>
  <c r="C46" i="16"/>
  <c r="C49" i="16"/>
  <c r="C44" i="16"/>
  <c r="C39" i="16"/>
  <c r="K44" i="16"/>
  <c r="K46" i="16"/>
  <c r="K45" i="16"/>
  <c r="K49" i="16"/>
  <c r="K41" i="16"/>
  <c r="K48" i="16"/>
  <c r="K40" i="16"/>
  <c r="K47" i="16"/>
  <c r="K43" i="16"/>
  <c r="K34" i="16"/>
  <c r="K37" i="16" s="1"/>
  <c r="K39" i="16"/>
  <c r="K42" i="16"/>
  <c r="D34" i="16"/>
  <c r="D37" i="16" s="1"/>
  <c r="D44" i="16"/>
  <c r="D48" i="16"/>
  <c r="D41" i="16"/>
  <c r="D40" i="16"/>
  <c r="D47" i="16"/>
  <c r="D45" i="16"/>
  <c r="D43" i="16"/>
  <c r="D49" i="16"/>
  <c r="D46" i="16"/>
  <c r="D42" i="16"/>
  <c r="D39" i="16"/>
  <c r="L48" i="16"/>
  <c r="L45" i="16"/>
  <c r="L44" i="16"/>
  <c r="L42" i="16"/>
  <c r="L40" i="16"/>
  <c r="L34" i="16"/>
  <c r="L37" i="16" s="1"/>
  <c r="L47" i="16"/>
  <c r="L43" i="16"/>
  <c r="L49" i="16"/>
  <c r="L46" i="16"/>
  <c r="L41" i="16"/>
  <c r="L39" i="16"/>
  <c r="I46" i="16"/>
  <c r="I39" i="16"/>
  <c r="I45" i="16"/>
  <c r="I47" i="16"/>
  <c r="I48" i="16"/>
  <c r="I41" i="16"/>
  <c r="I44" i="16"/>
  <c r="I49" i="16"/>
  <c r="I42" i="16"/>
  <c r="I40" i="16"/>
  <c r="I43" i="16"/>
  <c r="I34" i="16"/>
  <c r="I37" i="16" s="1"/>
  <c r="T34" i="16"/>
  <c r="T37" i="16" s="1"/>
  <c r="T40" i="16"/>
  <c r="T39" i="16"/>
  <c r="T45" i="16"/>
  <c r="T43" i="16"/>
  <c r="T42" i="16"/>
  <c r="T48" i="16"/>
  <c r="T49" i="16"/>
  <c r="T46" i="16"/>
  <c r="T41" i="16"/>
  <c r="T47" i="16"/>
  <c r="T44" i="16"/>
  <c r="P48" i="16"/>
  <c r="P47" i="16"/>
  <c r="P45" i="16"/>
  <c r="P39" i="16"/>
  <c r="P44" i="16"/>
  <c r="P49" i="16"/>
  <c r="P43" i="16"/>
  <c r="P42" i="16"/>
  <c r="P40" i="16"/>
  <c r="P41" i="16"/>
  <c r="P46" i="16"/>
  <c r="P34" i="16"/>
  <c r="P37" i="16" s="1"/>
  <c r="E40" i="16"/>
  <c r="E39" i="16"/>
  <c r="E41" i="16"/>
  <c r="E49" i="16"/>
  <c r="E46" i="16"/>
  <c r="E48" i="16"/>
  <c r="E43" i="16"/>
  <c r="E34" i="16"/>
  <c r="E37" i="16" s="1"/>
  <c r="E44" i="16"/>
  <c r="E42" i="16"/>
  <c r="E45" i="16"/>
  <c r="E47" i="16"/>
  <c r="M45" i="16"/>
  <c r="M44" i="16"/>
  <c r="M41" i="16"/>
  <c r="M34" i="16"/>
  <c r="M37" i="16" s="1"/>
  <c r="M47" i="16"/>
  <c r="M43" i="16"/>
  <c r="M46" i="16"/>
  <c r="M48" i="16"/>
  <c r="M49" i="16"/>
  <c r="M39" i="16"/>
  <c r="M42" i="16"/>
  <c r="M40" i="16"/>
  <c r="I39" i="8"/>
  <c r="I48" i="8"/>
  <c r="I40" i="8"/>
  <c r="I41" i="8"/>
  <c r="I42" i="8"/>
  <c r="I43" i="8"/>
  <c r="I47" i="8"/>
  <c r="I44" i="8"/>
  <c r="I45" i="8"/>
  <c r="I46" i="8"/>
  <c r="I34" i="8"/>
  <c r="I37" i="8" s="1"/>
  <c r="J39" i="8"/>
  <c r="J48" i="8"/>
  <c r="J40" i="8"/>
  <c r="J45" i="8"/>
  <c r="J41" i="8"/>
  <c r="J42" i="8"/>
  <c r="J43" i="8"/>
  <c r="J44" i="8"/>
  <c r="J47" i="8"/>
  <c r="J46" i="8"/>
  <c r="J34" i="8"/>
  <c r="J37" i="8" s="1"/>
  <c r="L47" i="8"/>
  <c r="L46" i="8"/>
  <c r="L34" i="8"/>
  <c r="L37" i="8" s="1"/>
  <c r="L39" i="8"/>
  <c r="L48" i="8"/>
  <c r="L40" i="8"/>
  <c r="L41" i="8"/>
  <c r="L42" i="8"/>
  <c r="L43" i="8"/>
  <c r="L44" i="8"/>
  <c r="L45" i="8"/>
  <c r="N45" i="8"/>
  <c r="N47" i="8"/>
  <c r="N46" i="8"/>
  <c r="N34" i="8"/>
  <c r="N37" i="8" s="1"/>
  <c r="N43" i="8"/>
  <c r="N39" i="8"/>
  <c r="N48" i="8"/>
  <c r="N40" i="8"/>
  <c r="N41" i="8"/>
  <c r="N42" i="8"/>
  <c r="N44" i="8"/>
  <c r="O44" i="8"/>
  <c r="O45" i="8"/>
  <c r="O47" i="8"/>
  <c r="O46" i="8"/>
  <c r="O34" i="8"/>
  <c r="O37" i="8" s="1"/>
  <c r="O39" i="8"/>
  <c r="O48" i="8"/>
  <c r="O40" i="8"/>
  <c r="O41" i="8"/>
  <c r="O42" i="8"/>
  <c r="O43" i="8"/>
  <c r="P44" i="8"/>
  <c r="P45" i="8"/>
  <c r="P47" i="8"/>
  <c r="P46" i="8"/>
  <c r="P34" i="8"/>
  <c r="P37" i="8" s="1"/>
  <c r="P39" i="8"/>
  <c r="P48" i="8"/>
  <c r="P40" i="8"/>
  <c r="P41" i="8"/>
  <c r="P42" i="8"/>
  <c r="P43" i="8"/>
  <c r="K46" i="8"/>
  <c r="K34" i="8"/>
  <c r="K37" i="8" s="1"/>
  <c r="K39" i="8"/>
  <c r="K48" i="8"/>
  <c r="K40" i="8"/>
  <c r="K41" i="8"/>
  <c r="K42" i="8"/>
  <c r="K43" i="8"/>
  <c r="K44" i="8"/>
  <c r="K45" i="8"/>
  <c r="K47" i="8"/>
  <c r="M45" i="8"/>
  <c r="M47" i="8"/>
  <c r="M46" i="8"/>
  <c r="M34" i="8"/>
  <c r="M37" i="8" s="1"/>
  <c r="M39" i="8"/>
  <c r="M48" i="8"/>
  <c r="M40" i="8"/>
  <c r="M41" i="8"/>
  <c r="M42" i="8"/>
  <c r="M43" i="8"/>
  <c r="M44" i="8"/>
  <c r="Q43" i="8"/>
  <c r="Q44" i="8"/>
  <c r="Q45" i="8"/>
  <c r="Q47" i="8"/>
  <c r="Q46" i="8"/>
  <c r="Q34" i="8"/>
  <c r="Q37" i="8" s="1"/>
  <c r="Q39" i="8"/>
  <c r="Q48" i="8"/>
  <c r="Q40" i="8"/>
  <c r="Q41" i="8"/>
  <c r="Q42" i="8"/>
  <c r="R43" i="8"/>
  <c r="R44" i="8"/>
  <c r="R45" i="8"/>
  <c r="R47" i="8"/>
  <c r="R46" i="8"/>
  <c r="R34" i="8"/>
  <c r="R37" i="8" s="1"/>
  <c r="R39" i="8"/>
  <c r="R48" i="8"/>
  <c r="R41" i="8"/>
  <c r="R40" i="8"/>
  <c r="R42" i="8"/>
  <c r="S42" i="8"/>
  <c r="S43" i="8"/>
  <c r="S44" i="8"/>
  <c r="S45" i="8"/>
  <c r="S47" i="8"/>
  <c r="S46" i="8"/>
  <c r="S34" i="8"/>
  <c r="S37" i="8" s="1"/>
  <c r="S39" i="8"/>
  <c r="S48" i="8"/>
  <c r="S40" i="8"/>
  <c r="S41" i="8"/>
  <c r="T42" i="8"/>
  <c r="T43" i="8"/>
  <c r="T44" i="8"/>
  <c r="T45" i="8"/>
  <c r="T47" i="8"/>
  <c r="T46" i="8"/>
  <c r="T34" i="8"/>
  <c r="T37" i="8" s="1"/>
  <c r="T39" i="8"/>
  <c r="T48" i="8"/>
  <c r="T40" i="8"/>
  <c r="T41" i="8"/>
  <c r="C42" i="8"/>
  <c r="C43" i="8"/>
  <c r="C44" i="8"/>
  <c r="C45" i="8"/>
  <c r="C47" i="8"/>
  <c r="C46" i="8"/>
  <c r="C34" i="8"/>
  <c r="C37" i="8" s="1"/>
  <c r="C39" i="8"/>
  <c r="C48" i="8"/>
  <c r="C40" i="8"/>
  <c r="C41" i="8"/>
  <c r="B44" i="8"/>
  <c r="B45" i="8"/>
  <c r="B46" i="8"/>
  <c r="B48" i="8"/>
  <c r="B39" i="8"/>
  <c r="B41" i="8"/>
  <c r="B47" i="8"/>
  <c r="B34" i="8"/>
  <c r="B37" i="8" s="1"/>
  <c r="B40" i="8"/>
  <c r="B42" i="8"/>
  <c r="B43" i="8"/>
  <c r="E41" i="8"/>
  <c r="E42" i="8"/>
  <c r="E43" i="8"/>
  <c r="E44" i="8"/>
  <c r="E45" i="8"/>
  <c r="E47" i="8"/>
  <c r="E46" i="8"/>
  <c r="E34" i="8"/>
  <c r="E37" i="8" s="1"/>
  <c r="E39" i="8"/>
  <c r="E48" i="8"/>
  <c r="E40" i="8"/>
  <c r="F48" i="8"/>
  <c r="F41" i="8"/>
  <c r="F42" i="8"/>
  <c r="F43" i="8"/>
  <c r="F44" i="8"/>
  <c r="F45" i="8"/>
  <c r="F47" i="8"/>
  <c r="F39" i="8"/>
  <c r="F46" i="8"/>
  <c r="F34" i="8"/>
  <c r="F37" i="8" s="1"/>
  <c r="F40" i="8"/>
  <c r="G40" i="8"/>
  <c r="G41" i="8"/>
  <c r="G42" i="8"/>
  <c r="G43" i="8"/>
  <c r="G44" i="8"/>
  <c r="G45" i="8"/>
  <c r="G47" i="8"/>
  <c r="G46" i="8"/>
  <c r="G34" i="8"/>
  <c r="G37" i="8" s="1"/>
  <c r="G39" i="8"/>
  <c r="G48" i="8"/>
  <c r="D42" i="8"/>
  <c r="D43" i="8"/>
  <c r="D44" i="8"/>
  <c r="D45" i="8"/>
  <c r="D47" i="8"/>
  <c r="D46" i="8"/>
  <c r="D34" i="8"/>
  <c r="D37" i="8" s="1"/>
  <c r="D39" i="8"/>
  <c r="D48" i="8"/>
  <c r="D40" i="8"/>
  <c r="D41" i="8"/>
  <c r="H40" i="8"/>
  <c r="H46" i="8"/>
  <c r="H41" i="8"/>
  <c r="H42" i="8"/>
  <c r="H43" i="8"/>
  <c r="H34" i="8"/>
  <c r="H37" i="8" s="1"/>
  <c r="H44" i="8"/>
  <c r="H45" i="8"/>
  <c r="H47" i="8"/>
  <c r="H39" i="8"/>
  <c r="H48" i="8"/>
  <c r="K24" i="8"/>
  <c r="T23" i="8"/>
  <c r="T69" i="8"/>
  <c r="Q23" i="8"/>
  <c r="S23" i="8"/>
  <c r="N23" i="8"/>
  <c r="O23" i="8"/>
  <c r="G23" i="8"/>
  <c r="J21" i="8"/>
  <c r="J22" i="8" s="1"/>
  <c r="Q21" i="8"/>
  <c r="Q22" i="8" s="1"/>
  <c r="R21" i="8"/>
  <c r="R22" i="8" s="1"/>
  <c r="D21" i="8"/>
  <c r="D22" i="8" s="1"/>
  <c r="D26" i="8" s="1"/>
  <c r="H21" i="8"/>
  <c r="H22" i="8" s="1"/>
  <c r="H26" i="8" s="1"/>
  <c r="I21" i="8"/>
  <c r="I22" i="8" s="1"/>
  <c r="I26" i="8" s="1"/>
  <c r="M21" i="8"/>
  <c r="M22" i="8" s="1"/>
  <c r="M26" i="8" s="1"/>
  <c r="I25" i="16"/>
  <c r="B25" i="16"/>
  <c r="G25" i="16"/>
  <c r="J25" i="16"/>
  <c r="J27" i="16" s="1"/>
  <c r="T63" i="16"/>
  <c r="T25" i="16"/>
  <c r="T27" i="16" s="1"/>
  <c r="T28" i="16" s="1"/>
  <c r="T80" i="16"/>
  <c r="R25" i="16"/>
  <c r="R27" i="16" s="1"/>
  <c r="T65" i="16"/>
  <c r="T67" i="16"/>
  <c r="T79" i="16"/>
  <c r="T78" i="16"/>
  <c r="T68" i="16"/>
  <c r="T69" i="16"/>
  <c r="T77" i="16"/>
  <c r="S25" i="16"/>
  <c r="S27" i="16" s="1"/>
  <c r="T70" i="16"/>
  <c r="T60" i="16"/>
  <c r="T59" i="16"/>
  <c r="T58" i="16"/>
  <c r="C25" i="16"/>
  <c r="T54" i="16"/>
  <c r="T53" i="16"/>
  <c r="E25" i="16"/>
  <c r="E27" i="16" s="1"/>
  <c r="K25" i="16"/>
  <c r="T75" i="16"/>
  <c r="T74" i="16"/>
  <c r="Q22" i="16"/>
  <c r="M25" i="16"/>
  <c r="M27" i="16" s="1"/>
  <c r="B22" i="16"/>
  <c r="B26" i="16" s="1"/>
  <c r="N25" i="16"/>
  <c r="N27" i="16" s="1"/>
  <c r="R22" i="16"/>
  <c r="P25" i="16"/>
  <c r="P27" i="16" s="1"/>
  <c r="D25" i="16"/>
  <c r="O25" i="16"/>
  <c r="O27" i="16" s="1"/>
  <c r="F25" i="16"/>
  <c r="H25" i="16"/>
  <c r="H27" i="16" s="1"/>
  <c r="I22" i="16"/>
  <c r="F26" i="16"/>
  <c r="D26" i="16"/>
  <c r="F28" i="16"/>
  <c r="L26" i="16"/>
  <c r="N28" i="16"/>
  <c r="C92" i="16"/>
  <c r="I92" i="16"/>
  <c r="K92" i="16"/>
  <c r="K96" i="16"/>
  <c r="G92" i="16"/>
  <c r="B92" i="16"/>
  <c r="D92" i="16"/>
  <c r="S92" i="16"/>
  <c r="C96" i="16"/>
  <c r="B99" i="16"/>
  <c r="J96" i="16"/>
  <c r="T92" i="16"/>
  <c r="D96" i="16"/>
  <c r="I96" i="16"/>
  <c r="F96" i="16"/>
  <c r="J92" i="16"/>
  <c r="M92" i="16"/>
  <c r="M96" i="16"/>
  <c r="F92" i="16"/>
  <c r="E92" i="16"/>
  <c r="L96" i="16"/>
  <c r="H92" i="16"/>
  <c r="O92" i="16"/>
  <c r="N92" i="16"/>
  <c r="B96" i="16"/>
  <c r="H96" i="16"/>
  <c r="L92" i="16"/>
  <c r="Q92" i="16"/>
  <c r="G96" i="16"/>
  <c r="T96" i="16"/>
  <c r="P92" i="16"/>
  <c r="E96" i="16"/>
  <c r="R92" i="16"/>
  <c r="P22" i="16"/>
  <c r="P28" i="16" s="1"/>
  <c r="M28" i="16"/>
  <c r="O28" i="16"/>
  <c r="L25" i="16"/>
  <c r="L28" i="16"/>
  <c r="G22" i="16"/>
  <c r="G28" i="16" s="1"/>
  <c r="C22" i="16"/>
  <c r="K26" i="16"/>
  <c r="K23" i="8"/>
  <c r="T21" i="8"/>
  <c r="M23" i="8"/>
  <c r="R24" i="8"/>
  <c r="T52" i="8"/>
  <c r="T54" i="8"/>
  <c r="K21" i="8"/>
  <c r="K22" i="8" s="1"/>
  <c r="K26" i="8" s="1"/>
  <c r="E23" i="8"/>
  <c r="C23" i="8"/>
  <c r="F21" i="8"/>
  <c r="F22" i="8" s="1"/>
  <c r="F26" i="8" s="1"/>
  <c r="S24" i="8"/>
  <c r="P21" i="8"/>
  <c r="P22" i="8" s="1"/>
  <c r="R23" i="8"/>
  <c r="I24" i="8"/>
  <c r="T67" i="8"/>
  <c r="P24" i="8"/>
  <c r="G21" i="8"/>
  <c r="F23" i="8"/>
  <c r="O24" i="8"/>
  <c r="L23" i="8"/>
  <c r="N21" i="8"/>
  <c r="D23" i="8"/>
  <c r="J23" i="8"/>
  <c r="J25" i="8" s="1"/>
  <c r="S21" i="8"/>
  <c r="H23" i="8"/>
  <c r="I23" i="8"/>
  <c r="I82" i="8"/>
  <c r="T86" i="8"/>
  <c r="O82" i="8"/>
  <c r="L82" i="8"/>
  <c r="K86" i="8"/>
  <c r="F86" i="8"/>
  <c r="S82" i="8"/>
  <c r="B86" i="8"/>
  <c r="I86" i="8"/>
  <c r="C82" i="8"/>
  <c r="B89" i="8"/>
  <c r="H82" i="8"/>
  <c r="D86" i="8"/>
  <c r="J86" i="8"/>
  <c r="M82" i="8"/>
  <c r="D82" i="8"/>
  <c r="E82" i="8"/>
  <c r="G82" i="8"/>
  <c r="H86" i="8"/>
  <c r="C86" i="8"/>
  <c r="B82" i="8"/>
  <c r="F82" i="8"/>
  <c r="T82" i="8"/>
  <c r="R82" i="8"/>
  <c r="P82" i="8"/>
  <c r="L86" i="8"/>
  <c r="Q82" i="8"/>
  <c r="J82" i="8"/>
  <c r="K82" i="8"/>
  <c r="E86" i="8"/>
  <c r="N82" i="8"/>
  <c r="G86" i="8"/>
  <c r="M86" i="8"/>
  <c r="T63" i="8"/>
  <c r="T57" i="8"/>
  <c r="E21" i="8"/>
  <c r="O21" i="8"/>
  <c r="L21" i="8"/>
  <c r="C21" i="8"/>
  <c r="P23" i="8"/>
  <c r="T64" i="8"/>
  <c r="B21" i="8"/>
  <c r="T59" i="8"/>
  <c r="T53" i="8"/>
  <c r="T70" i="8"/>
  <c r="T62" i="8"/>
  <c r="T65" i="8"/>
  <c r="T60" i="8"/>
  <c r="T58" i="8"/>
  <c r="S28" i="16" l="1"/>
  <c r="K25" i="8"/>
  <c r="R25" i="8"/>
  <c r="R27" i="8" s="1"/>
  <c r="F25" i="8"/>
  <c r="F27" i="8" s="1"/>
  <c r="Q25" i="8"/>
  <c r="Q27" i="8" s="1"/>
  <c r="H25" i="8"/>
  <c r="H27" i="8" s="1"/>
  <c r="D25" i="8"/>
  <c r="D27" i="8" s="1"/>
  <c r="M25" i="8"/>
  <c r="P25" i="8"/>
  <c r="P27" i="8" s="1"/>
  <c r="M27" i="8"/>
  <c r="R28" i="8"/>
  <c r="I25" i="8"/>
  <c r="I27" i="8" s="1"/>
  <c r="F27" i="16"/>
  <c r="D28" i="16"/>
  <c r="B27" i="16"/>
  <c r="D27" i="16"/>
  <c r="K27" i="16"/>
  <c r="C28" i="16"/>
  <c r="I26" i="16"/>
  <c r="I27" i="16" s="1"/>
  <c r="J28" i="16"/>
  <c r="K28" i="16"/>
  <c r="L27" i="16"/>
  <c r="J93" i="16"/>
  <c r="T95" i="16"/>
  <c r="C93" i="16"/>
  <c r="F95" i="16"/>
  <c r="F18" i="16" s="1"/>
  <c r="P93" i="16"/>
  <c r="M93" i="16"/>
  <c r="S93" i="16"/>
  <c r="G93" i="16"/>
  <c r="E95" i="16"/>
  <c r="E18" i="16" s="1"/>
  <c r="T93" i="16"/>
  <c r="D93" i="16"/>
  <c r="F93" i="16"/>
  <c r="H95" i="16"/>
  <c r="H18" i="16" s="1"/>
  <c r="H93" i="16"/>
  <c r="K93" i="16"/>
  <c r="I95" i="16"/>
  <c r="I18" i="16" s="1"/>
  <c r="I93" i="16"/>
  <c r="E93" i="16"/>
  <c r="K95" i="16"/>
  <c r="B95" i="16"/>
  <c r="J95" i="16"/>
  <c r="J18" i="16" s="1"/>
  <c r="Q93" i="16"/>
  <c r="L95" i="16"/>
  <c r="L93" i="16"/>
  <c r="B93" i="16"/>
  <c r="O93" i="16"/>
  <c r="C95" i="16"/>
  <c r="C18" i="16" s="1"/>
  <c r="M95" i="16"/>
  <c r="R93" i="16"/>
  <c r="N93" i="16"/>
  <c r="D95" i="16"/>
  <c r="D18" i="16" s="1"/>
  <c r="G95" i="16"/>
  <c r="G18" i="16" s="1"/>
  <c r="I28" i="16"/>
  <c r="G26" i="16"/>
  <c r="G27" i="16" s="1"/>
  <c r="R28" i="16"/>
  <c r="Q28" i="16"/>
  <c r="B28" i="16"/>
  <c r="E28" i="16"/>
  <c r="C26" i="16"/>
  <c r="C27" i="16" s="1"/>
  <c r="H28" i="16"/>
  <c r="G25" i="8"/>
  <c r="G22" i="8"/>
  <c r="J28" i="8"/>
  <c r="N25" i="8"/>
  <c r="N27" i="8" s="1"/>
  <c r="N22" i="8"/>
  <c r="K27" i="8"/>
  <c r="S22" i="8"/>
  <c r="S28" i="8" s="1"/>
  <c r="S25" i="8"/>
  <c r="S27" i="8" s="1"/>
  <c r="T25" i="8"/>
  <c r="T22" i="8"/>
  <c r="T26" i="8" s="1"/>
  <c r="E22" i="8"/>
  <c r="E25" i="8"/>
  <c r="C25" i="8"/>
  <c r="C22" i="8"/>
  <c r="L25" i="8"/>
  <c r="L22" i="8"/>
  <c r="L28" i="8" s="1"/>
  <c r="P83" i="8"/>
  <c r="N83" i="8"/>
  <c r="T85" i="8"/>
  <c r="H83" i="8"/>
  <c r="I83" i="8"/>
  <c r="T83" i="8"/>
  <c r="K83" i="8"/>
  <c r="E85" i="8"/>
  <c r="J83" i="8"/>
  <c r="Q83" i="8"/>
  <c r="J85" i="8"/>
  <c r="D83" i="8"/>
  <c r="G83" i="8"/>
  <c r="B83" i="8"/>
  <c r="R83" i="8"/>
  <c r="B85" i="8"/>
  <c r="B51" i="8" s="1"/>
  <c r="H85" i="8"/>
  <c r="I85" i="8"/>
  <c r="F83" i="8"/>
  <c r="M85" i="8"/>
  <c r="M51" i="8" s="1"/>
  <c r="L83" i="8"/>
  <c r="O83" i="8"/>
  <c r="C85" i="8"/>
  <c r="E83" i="8"/>
  <c r="G85" i="8"/>
  <c r="M83" i="8"/>
  <c r="C83" i="8"/>
  <c r="K85" i="8"/>
  <c r="K51" i="8" s="1"/>
  <c r="S83" i="8"/>
  <c r="L85" i="8"/>
  <c r="L51" i="8" s="1"/>
  <c r="D85" i="8"/>
  <c r="F85" i="8"/>
  <c r="O25" i="8"/>
  <c r="O27" i="8" s="1"/>
  <c r="O22" i="8"/>
  <c r="K28" i="8"/>
  <c r="J26" i="8"/>
  <c r="J27" i="8" s="1"/>
  <c r="B22" i="8"/>
  <c r="B25" i="8"/>
  <c r="T27" i="8" l="1"/>
  <c r="T28" i="8" s="1"/>
  <c r="I28" i="8"/>
  <c r="G26" i="8"/>
  <c r="G27" i="8" s="1"/>
  <c r="H28" i="8"/>
  <c r="C51" i="8"/>
  <c r="C18" i="8"/>
  <c r="G18" i="8"/>
  <c r="G51" i="8"/>
  <c r="C28" i="8"/>
  <c r="B26" i="8"/>
  <c r="B27" i="8" s="1"/>
  <c r="D28" i="8"/>
  <c r="B28" i="8"/>
  <c r="F51" i="8"/>
  <c r="F18" i="8"/>
  <c r="L26" i="8"/>
  <c r="L27" i="8" s="1"/>
  <c r="N28" i="8"/>
  <c r="M28" i="8"/>
  <c r="E18" i="8"/>
  <c r="E51" i="8"/>
  <c r="I18" i="8"/>
  <c r="I51" i="8"/>
  <c r="T51" i="8"/>
  <c r="T18" i="8"/>
  <c r="C26" i="8"/>
  <c r="C27" i="8" s="1"/>
  <c r="E28" i="8"/>
  <c r="P28" i="8"/>
  <c r="Q28" i="8"/>
  <c r="O28" i="8"/>
  <c r="H51" i="8"/>
  <c r="H18" i="8"/>
  <c r="D51" i="8"/>
  <c r="D18" i="8"/>
  <c r="J51" i="8"/>
  <c r="J18" i="8"/>
  <c r="G28" i="8"/>
  <c r="E26" i="8"/>
  <c r="E27" i="8" s="1"/>
  <c r="F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Michael Fleetwood</author>
    <author>Home</author>
  </authors>
  <commentList>
    <comment ref="A30" authorId="0" shapeId="0" xr:uid="{00000000-0006-0000-02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8" authorId="1" shapeId="0" xr:uid="{00000000-0006-0000-02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72" authorId="2" shapeId="0" xr:uid="{00000000-0006-0000-0200-000003000000}">
      <text>
        <r>
          <rPr>
            <b/>
            <sz val="9"/>
            <color indexed="81"/>
            <rFont val="Tahoma"/>
            <family val="2"/>
          </rPr>
          <t>Michael Fleetwood:</t>
        </r>
        <r>
          <rPr>
            <sz val="9"/>
            <color indexed="81"/>
            <rFont val="Tahoma"/>
            <family val="2"/>
          </rPr>
          <t xml:space="preserve">
minimum crews across all areas (ASW, ISR, SUW)
CPRGINST 3500.32C</t>
        </r>
      </text>
    </comment>
    <comment ref="A82" authorId="3" shapeId="0" xr:uid="{00000000-0006-0000-0200-000004000000}">
      <text>
        <r>
          <rPr>
            <sz val="8"/>
            <color indexed="81"/>
            <rFont val="Tahoma"/>
            <family val="2"/>
          </rPr>
          <t>2 Standard Deviation based on performance Standard</t>
        </r>
      </text>
    </comment>
    <comment ref="A83" authorId="3" shapeId="0" xr:uid="{00000000-0006-0000-0200-000005000000}">
      <text>
        <r>
          <rPr>
            <sz val="8"/>
            <color indexed="81"/>
            <rFont val="Tahoma"/>
            <family val="2"/>
          </rPr>
          <t>1 Standard Deviation based on performance Standard</t>
        </r>
      </text>
    </comment>
    <comment ref="D91" authorId="0" shapeId="0" xr:uid="{00000000-0006-0000-0200-000006000000}">
      <text>
        <r>
          <rPr>
            <b/>
            <sz val="8"/>
            <color indexed="81"/>
            <rFont val="Tahoma"/>
            <family val="2"/>
          </rPr>
          <t>michael.fleetwood:</t>
        </r>
        <r>
          <rPr>
            <sz val="8"/>
            <color indexed="81"/>
            <rFont val="Tahoma"/>
            <family val="2"/>
          </rPr>
          <t xml:space="preserve">
Edit the percentage values to effect the ACTC level manning in the Standard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Home</author>
  </authors>
  <commentList>
    <comment ref="A30" authorId="0" shapeId="0" xr:uid="{00000000-0006-0000-0300-000001000000}">
      <text>
        <r>
          <rPr>
            <b/>
            <sz val="8"/>
            <color indexed="81"/>
            <rFont val="Tahoma"/>
            <family val="2"/>
          </rPr>
          <t>michael.fleetwood:</t>
        </r>
        <r>
          <rPr>
            <sz val="8"/>
            <color indexed="81"/>
            <rFont val="Tahoma"/>
            <family val="2"/>
          </rPr>
          <t xml:space="preserve">
Simulator Support Hours.  Simulator Support Hours are those hours executed in a simulator in addition to the Total Hours Standard T&amp;R baseline in order to support unit training requirements.  Simulator Contribution should not be confused with Simulator Support Hours.  They are separate entities.  Simulator Contribution represents those Flying Hours that can be accomplished in a simulator, while Simulator Support Hours are in addition to Total Flying Hours or Total Flying Hours accomplished in the simulator.  Examples of Simulator Support Hours are: red air, ACTC syllabus events, SFARP/EWARP/HARP/ARP events, PMCF/FCF qualification, extra practice, etc.</t>
        </r>
      </text>
    </comment>
    <comment ref="A49" authorId="1" shapeId="0" xr:uid="{00000000-0006-0000-03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A92" authorId="2" shapeId="0" xr:uid="{00000000-0006-0000-0300-000003000000}">
      <text>
        <r>
          <rPr>
            <sz val="8"/>
            <color indexed="81"/>
            <rFont val="Tahoma"/>
            <family val="2"/>
          </rPr>
          <t>2 Standard Deviation based on performance Standard</t>
        </r>
      </text>
    </comment>
    <comment ref="A93" authorId="2" shapeId="0" xr:uid="{00000000-0006-0000-0300-000004000000}">
      <text>
        <r>
          <rPr>
            <sz val="8"/>
            <color indexed="81"/>
            <rFont val="Tahoma"/>
            <family val="2"/>
          </rPr>
          <t>1 Standard Deviation based on performance Standard</t>
        </r>
      </text>
    </comment>
    <comment ref="D101" authorId="0" shapeId="0" xr:uid="{00000000-0006-0000-0300-000005000000}">
      <text>
        <r>
          <rPr>
            <b/>
            <sz val="8"/>
            <color indexed="81"/>
            <rFont val="Tahoma"/>
            <family val="2"/>
          </rPr>
          <t>michael.fleetwood:</t>
        </r>
        <r>
          <rPr>
            <sz val="8"/>
            <color indexed="81"/>
            <rFont val="Tahoma"/>
            <family val="2"/>
          </rPr>
          <t xml:space="preserve">
Edit the percentage values to effect the ACTC level manning in the Standard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
  <commentList>
    <comment ref="B16" authorId="0" shapeId="0" xr:uid="{00000000-0006-0000-0400-000001000000}">
      <text>
        <r>
          <rPr>
            <b/>
            <sz val="8"/>
            <color indexed="81"/>
            <rFont val="Tahoma"/>
            <family val="2"/>
          </rPr>
          <t>michael.fleetwood:</t>
        </r>
        <r>
          <rPr>
            <sz val="8"/>
            <color indexed="81"/>
            <rFont val="Tahoma"/>
            <family val="2"/>
          </rPr>
          <t xml:space="preserve">
FY-23 NAPP</t>
        </r>
      </text>
    </comment>
    <comment ref="C16" authorId="0" shapeId="0" xr:uid="{00000000-0006-0000-0400-000002000000}">
      <text>
        <r>
          <rPr>
            <b/>
            <sz val="8"/>
            <color indexed="81"/>
            <rFont val="Tahoma"/>
            <family val="2"/>
          </rPr>
          <t>michael.fleetwood:</t>
        </r>
        <r>
          <rPr>
            <sz val="8"/>
            <color indexed="81"/>
            <rFont val="Tahoma"/>
            <family val="2"/>
          </rPr>
          <t xml:space="preserve">
FY-23 NAPP</t>
        </r>
      </text>
    </comment>
    <comment ref="A28" authorId="1" shapeId="0" xr:uid="{00000000-0006-0000-0400-000003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A32" authorId="0" shapeId="0" xr:uid="{00000000-0006-0000-05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O2" authorId="0" shapeId="0" xr:uid="{00000000-0006-0000-07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Fleetwood, Michael T CTR  COMNAVAIRLANT, NC007</author>
  </authors>
  <commentList>
    <comment ref="A12" authorId="0" shapeId="0" xr:uid="{00000000-0006-0000-0800-000001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C13" authorId="0" shapeId="0" xr:uid="{00000000-0006-0000-0800-000002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michael.fleetwood</author>
  </authors>
  <commentList>
    <comment ref="C5" authorId="0" shapeId="0" xr:uid="{00000000-0006-0000-09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9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17" authorId="0" shapeId="0" xr:uid="{00000000-0006-0000-0900-000003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michael.fleetwood</author>
    <author>Fleetwood, Michael T CTR  COMNAVAIRLANT, NC007</author>
  </authors>
  <commentList>
    <comment ref="C5" authorId="0" shapeId="0" xr:uid="{00000000-0006-0000-0A00-000001000000}">
      <text>
        <r>
          <rPr>
            <b/>
            <sz val="8"/>
            <color indexed="81"/>
            <rFont val="Tahoma"/>
            <family val="2"/>
          </rPr>
          <t>michael.fleetwood:</t>
        </r>
        <r>
          <rPr>
            <sz val="8"/>
            <color indexed="81"/>
            <rFont val="Tahoma"/>
            <family val="2"/>
          </rPr>
          <t xml:space="preserve">
These are the Mission System Groupings taken from the MESM.  Each item corresponds to an EOC Code.</t>
        </r>
      </text>
    </comment>
    <comment ref="D5" authorId="0" shapeId="0" xr:uid="{00000000-0006-0000-0A00-000002000000}">
      <text>
        <r>
          <rPr>
            <b/>
            <sz val="8"/>
            <color indexed="81"/>
            <rFont val="Tahoma"/>
            <family val="2"/>
          </rPr>
          <t>michael.fleetwood:</t>
        </r>
        <r>
          <rPr>
            <sz val="8"/>
            <color indexed="81"/>
            <rFont val="Tahoma"/>
            <family val="2"/>
          </rPr>
          <t xml:space="preserve">
These items are integrated to the aircraft and describe the individual components in the Mission System Group</t>
        </r>
      </text>
    </comment>
    <comment ref="C106" authorId="1" shapeId="0" xr:uid="{00000000-0006-0000-0A00-000003000000}">
      <text>
        <r>
          <rPr>
            <b/>
            <sz val="9"/>
            <color indexed="81"/>
            <rFont val="Tahoma"/>
            <family val="2"/>
          </rPr>
          <t>Fleetwood, Michael T CTR  COMNAVAIRLANT, NC007:</t>
        </r>
        <r>
          <rPr>
            <sz val="9"/>
            <color indexed="81"/>
            <rFont val="Tahoma"/>
            <family val="2"/>
          </rPr>
          <t xml:space="preserve">
System which was embeded into RBA.  Needs to be broken out.</t>
        </r>
      </text>
    </comment>
    <comment ref="C116" authorId="0" shapeId="0" xr:uid="{00000000-0006-0000-0A00-000004000000}">
      <text>
        <r>
          <rPr>
            <b/>
            <sz val="8"/>
            <color indexed="81"/>
            <rFont val="Tahoma"/>
            <family val="2"/>
          </rPr>
          <t>michael.fleetwood:</t>
        </r>
        <r>
          <rPr>
            <sz val="8"/>
            <color indexed="81"/>
            <rFont val="Tahoma"/>
            <family val="2"/>
          </rPr>
          <t xml:space="preserve">
Non-Integrated Systems are those items that attatch to the aircraft and do not necessarily affect the Material Condition of the aircraft when removed.  i.e. TFLIR, LDT, CATM</t>
        </r>
      </text>
    </comment>
  </commentList>
</comments>
</file>

<file path=xl/sharedStrings.xml><?xml version="1.0" encoding="utf-8"?>
<sst xmlns="http://schemas.openxmlformats.org/spreadsheetml/2006/main" count="1052" uniqueCount="442">
  <si>
    <t>Standard Name</t>
  </si>
  <si>
    <t>ID</t>
  </si>
  <si>
    <t>Rev</t>
  </si>
  <si>
    <t>AMFOM</t>
  </si>
  <si>
    <t>Definitions</t>
  </si>
  <si>
    <t>Readiness Standards P-3C</t>
  </si>
  <si>
    <t>Deleted</t>
  </si>
  <si>
    <t>Note:  'NEW' Standards are less than 90 Days old</t>
  </si>
  <si>
    <t>Date</t>
  </si>
  <si>
    <t>Standard</t>
  </si>
  <si>
    <t>Change Summary</t>
  </si>
  <si>
    <t>P-8A Standard with FRS</t>
  </si>
  <si>
    <t>Initial P-8 Standard</t>
  </si>
  <si>
    <t>P-3C Standard with FRS</t>
  </si>
  <si>
    <t>Updated UIII and AIP/BMUP Flightline mix for FRS in rows 36-37</t>
  </si>
  <si>
    <t>All</t>
  </si>
  <si>
    <t>Updated Mission System calculations/P-8 Aircrew Lower Limit formula/P-8 90 Day FH formula</t>
  </si>
  <si>
    <t>Added Simulator Support Hours</t>
  </si>
  <si>
    <t>Updated FRS Standards</t>
  </si>
  <si>
    <t>Updated Naming for ACTC Levels to include '&gt;='.  
Updated Row 163 from '&gt;= ACTCL1 AW' to '&gt;= ACTCL2 AW'  to match 15 Jan 13 P-3C T&amp;R</t>
  </si>
  <si>
    <t>Updated Reserve Standards</t>
  </si>
  <si>
    <t>Updated Standards per MESM changes</t>
  </si>
  <si>
    <t>Incorporated Level 4 Pilots, NFOs, AWs, and Ews into "Aircrew Manning and Crews" table</t>
  </si>
  <si>
    <t>Updated/Verified CBM Matrix</t>
  </si>
  <si>
    <t>P-3 Related Standards</t>
  </si>
  <si>
    <t>Removed references to UIII</t>
  </si>
  <si>
    <t>P-3C and P-8A Standards</t>
  </si>
  <si>
    <t>Updated FY-18 FRS Standards</t>
  </si>
  <si>
    <t>Added P-3C and P-8A Reduced NTA Matrix</t>
  </si>
  <si>
    <t>Removed RBA/RFT and associated logic - Percentages unchanged from RFT Standard version</t>
  </si>
  <si>
    <t>Added EOC L code: Ready IMC Flight Mission Systems (L), set equal to MC %</t>
  </si>
  <si>
    <t>VP FRS</t>
  </si>
  <si>
    <t>FRS Standards moved to unique tab</t>
  </si>
  <si>
    <t>Added Squadron Manning standards: Rating Fit/Fill, NEC Fit, and MPR</t>
  </si>
  <si>
    <t>All AMFOM</t>
  </si>
  <si>
    <t>Updated AMFOM Standards to remove RBA and replace with MC and added EOC (L)</t>
  </si>
  <si>
    <t>Legacy NTA Maps</t>
  </si>
  <si>
    <t>P-8A Standard</t>
  </si>
  <si>
    <t>Updated Flightline and MC Standard Percentages</t>
  </si>
  <si>
    <t>Updated to include FMC and Mission System values from ARC-N</t>
  </si>
  <si>
    <t>Updated 100% T&amp;R and Sim Fidelity</t>
  </si>
  <si>
    <t>Readiness Standards P-8A</t>
  </si>
  <si>
    <t>Rev:</t>
  </si>
  <si>
    <t>ID:</t>
  </si>
  <si>
    <t>PAA =</t>
  </si>
  <si>
    <t>Mission At Home</t>
  </si>
  <si>
    <t>Inventory</t>
  </si>
  <si>
    <t>Crew/Seat Ratio=</t>
  </si>
  <si>
    <t>Mission Deployed</t>
  </si>
  <si>
    <t>Crews=</t>
  </si>
  <si>
    <t>ESL=</t>
  </si>
  <si>
    <t>100% T&amp;R Matrix=</t>
  </si>
  <si>
    <t>100% Training Hours=</t>
  </si>
  <si>
    <t>100% Training Sorties=</t>
  </si>
  <si>
    <t>Support Hours=</t>
  </si>
  <si>
    <t>Per Crew</t>
  </si>
  <si>
    <t>Tactical Hard Deck =</t>
  </si>
  <si>
    <t>Support Hours Deployed=</t>
  </si>
  <si>
    <t>Sim Fidelity %=</t>
  </si>
  <si>
    <t>Simulator Support Hours=</t>
  </si>
  <si>
    <t>FRTP Mode</t>
  </si>
  <si>
    <t>Basic</t>
  </si>
  <si>
    <t>Advanced</t>
  </si>
  <si>
    <t>Deploy</t>
  </si>
  <si>
    <t>Tactical Hard Deck</t>
  </si>
  <si>
    <t>R+Month</t>
  </si>
  <si>
    <t>R+1</t>
  </si>
  <si>
    <t>R+2</t>
  </si>
  <si>
    <t>R+3</t>
  </si>
  <si>
    <t>R+4</t>
  </si>
  <si>
    <t>R+5</t>
  </si>
  <si>
    <t>R+6</t>
  </si>
  <si>
    <t>R+7</t>
  </si>
  <si>
    <t>R+8</t>
  </si>
  <si>
    <t>R+9</t>
  </si>
  <si>
    <t>R+10</t>
  </si>
  <si>
    <t>R+11</t>
  </si>
  <si>
    <t>POM</t>
  </si>
  <si>
    <t>D+1</t>
  </si>
  <si>
    <t>D+2</t>
  </si>
  <si>
    <t>D+3</t>
  </si>
  <si>
    <t>D+4</t>
  </si>
  <si>
    <t>D+5</t>
  </si>
  <si>
    <t>D+6</t>
  </si>
  <si>
    <t>R+28</t>
  </si>
  <si>
    <t>FRTP</t>
  </si>
  <si>
    <t>Mission</t>
  </si>
  <si>
    <t>Basic Phase</t>
  </si>
  <si>
    <t>Intermediate Phase</t>
  </si>
  <si>
    <t>THD</t>
  </si>
  <si>
    <t>Training Resource Elements</t>
  </si>
  <si>
    <t>Average Training Readiness (ATR) Standard</t>
  </si>
  <si>
    <t>% of T&amp;R Matrix</t>
  </si>
  <si>
    <t>Flying Hours</t>
  </si>
  <si>
    <t>Training Sortie Standard</t>
  </si>
  <si>
    <t>Training Hours Standard</t>
  </si>
  <si>
    <t>Ashore Support Hours Total</t>
  </si>
  <si>
    <t>Afloat Support Hours Total</t>
  </si>
  <si>
    <t>Total Hours Standard</t>
  </si>
  <si>
    <t>Simulator Contribution</t>
  </si>
  <si>
    <t>Allocated Flight Hours</t>
  </si>
  <si>
    <t>Flight Hour Execution Standard (90 Day Avg)</t>
  </si>
  <si>
    <t>Simulator Hours</t>
  </si>
  <si>
    <t>Simulator Support Hours</t>
  </si>
  <si>
    <t>Aircraft Standards</t>
  </si>
  <si>
    <t>Flightline %</t>
  </si>
  <si>
    <t>MC %</t>
  </si>
  <si>
    <t>FMC %</t>
  </si>
  <si>
    <t>Flightline Standard</t>
  </si>
  <si>
    <t>MC Standard</t>
  </si>
  <si>
    <t>FMC Standard</t>
  </si>
  <si>
    <t>Integrated Mission Systems</t>
  </si>
  <si>
    <t>Ready P-8A Tactical Support Mission Systems (C)</t>
  </si>
  <si>
    <t>Ready P-8A Weapon Mission Systems (D)</t>
  </si>
  <si>
    <t>Ready P-8A Countermeasures Mission Systems (E)</t>
  </si>
  <si>
    <t>Ready P-8A Surveillance Mission Systems (F)</t>
  </si>
  <si>
    <t>Ready P-8A ASUW Mission Systems (G)</t>
  </si>
  <si>
    <t>Ready P-8A ASW Mission Systems (H)</t>
  </si>
  <si>
    <t>Ready P-8A C4I Mission Systems (I)</t>
  </si>
  <si>
    <t>Ready P-8A Basic Tactical Mission Systems (J)</t>
  </si>
  <si>
    <t>Ready P-8A Mobility Mission Systems (K)</t>
  </si>
  <si>
    <t>Ready P-8A IMC Flight Mission Systems (L)</t>
  </si>
  <si>
    <t>Aircrew Manning and Crews</t>
  </si>
  <si>
    <t>Pilot Upper Limit</t>
  </si>
  <si>
    <t>Pilot Lower Limit</t>
  </si>
  <si>
    <t>&gt; ACTC L4 Pilots</t>
  </si>
  <si>
    <t>&gt; ACTC L3 Pilots</t>
  </si>
  <si>
    <t>&gt; ACTC L2 Pilots</t>
  </si>
  <si>
    <t>&gt; ACTC L1 Pilots</t>
  </si>
  <si>
    <t>NFO Upper Limit</t>
  </si>
  <si>
    <t>NFO Lower Limit</t>
  </si>
  <si>
    <t>&gt; ACTC L4 NFO</t>
  </si>
  <si>
    <t>&gt; ACTC L3 NFO</t>
  </si>
  <si>
    <t>&gt; ACTC L1 NFO</t>
  </si>
  <si>
    <t>AW Upper Limit</t>
  </si>
  <si>
    <t>AW Lower Limit</t>
  </si>
  <si>
    <t>&gt; ACTC L4 AAW</t>
  </si>
  <si>
    <t>&gt; ACTC L3 AAW</t>
  </si>
  <si>
    <t>&gt; ACTC L1 AAW</t>
  </si>
  <si>
    <t>EW Upper Limit</t>
  </si>
  <si>
    <t>EW Lower Limit</t>
  </si>
  <si>
    <t>&gt; ACTC L4 EWO</t>
  </si>
  <si>
    <t>&gt; ACTC L3 EWO</t>
  </si>
  <si>
    <t>&gt; ACTC L1 EWO</t>
  </si>
  <si>
    <t>Combat Ready Crew Schedule</t>
  </si>
  <si>
    <t>Squadron Manning</t>
  </si>
  <si>
    <t>Overall Rating Fill</t>
  </si>
  <si>
    <t>Overall Rating Fit</t>
  </si>
  <si>
    <t>Overall NEC Fit</t>
  </si>
  <si>
    <t>Notes: * 10 crews per Maximum T&amp;R Pf requirements.  Combat Ready Crews for Mission Types match CPRGINST 3500.32</t>
  </si>
  <si>
    <t>Range of Performance Values - Do Not Modify - (Use these values to establish performance cutoffs)</t>
  </si>
  <si>
    <t>UCL (Red Above)</t>
  </si>
  <si>
    <t>UCL (Yellow Above)</t>
  </si>
  <si>
    <t>Training Readiness Standard</t>
  </si>
  <si>
    <t>LCL (Yellow Below)</t>
  </si>
  <si>
    <t>LCL (Red Below)</t>
  </si>
  <si>
    <t>Ef Crew Expectation Profile</t>
  </si>
  <si>
    <t>U/L CL Max:</t>
  </si>
  <si>
    <t>U/L CL Min:</t>
  </si>
  <si>
    <t>CBM Matrix Ef Values - Do Not Modify</t>
  </si>
  <si>
    <t>Aircrew ACTC Calculation Values</t>
  </si>
  <si>
    <t>T&amp;R:</t>
  </si>
  <si>
    <t>Sep 2022</t>
  </si>
  <si>
    <t>Trained Manpower and Crews</t>
  </si>
  <si>
    <t>Manning Percentages</t>
  </si>
  <si>
    <t>&gt;80</t>
  </si>
  <si>
    <t>80-60</t>
  </si>
  <si>
    <t>&lt;60</t>
  </si>
  <si>
    <t>NFO/AW LL Manning</t>
  </si>
  <si>
    <t>EW LL Manning</t>
  </si>
  <si>
    <t>Required Skilled Crews</t>
  </si>
  <si>
    <t>Monthly Variable Hours Assignments</t>
  </si>
  <si>
    <t>Simulator Replacement Month</t>
  </si>
  <si>
    <t>X</t>
  </si>
  <si>
    <t>Afloat Support Hours Assignment</t>
  </si>
  <si>
    <t>DRRS-N E-Pillar Break Points</t>
  </si>
  <si>
    <t>Green</t>
  </si>
  <si>
    <t>Yellow</t>
  </si>
  <si>
    <t>Red</t>
  </si>
  <si>
    <t>Aircraft</t>
  </si>
  <si>
    <t>Top</t>
  </si>
  <si>
    <t>In Reporting</t>
  </si>
  <si>
    <t>Mission Capable Aircraft (MC)</t>
  </si>
  <si>
    <t>FMC and Mission System Utilization Rates</t>
  </si>
  <si>
    <t>P-8 7PAA v220921</t>
  </si>
  <si>
    <t>FMC % of MC</t>
  </si>
  <si>
    <t xml:space="preserve">Readiness Standards P-3C FRU (Reserve) </t>
  </si>
  <si>
    <t>UIII</t>
  </si>
  <si>
    <t>AIP BMUP</t>
  </si>
  <si>
    <t>Intermediate</t>
  </si>
  <si>
    <t>Maintenance</t>
  </si>
  <si>
    <t>Maint</t>
  </si>
  <si>
    <t>Mission Systems Summary</t>
  </si>
  <si>
    <t>Ready P-3C Tactical Support Mission Systems (C)</t>
  </si>
  <si>
    <t>Ready P-3C ASUW Mission Systems (D)</t>
  </si>
  <si>
    <t>Ready P-3C Advanced ASW Mission Systems (E)</t>
  </si>
  <si>
    <t>Ready P-3C Countermeasures Mission Systems (F)</t>
  </si>
  <si>
    <t>Ready P-3C Weapon Mission Systems (G)</t>
  </si>
  <si>
    <t>Ready P-3C Basic ASW Mission Systems (H)</t>
  </si>
  <si>
    <t>Ready P-3C C4I Mission Systems (I)</t>
  </si>
  <si>
    <t>Ready P-3C Surveillance Mission Systems (J)</t>
  </si>
  <si>
    <t>Ready P-3C Basic Tactical Mission Systems (K group 1)</t>
  </si>
  <si>
    <t>Ready P-3C Mobility Mission Systems (K group 2)</t>
  </si>
  <si>
    <t>Ready P-3C IMC Flight Mission Systems (L)</t>
  </si>
  <si>
    <t>&gt;= ACTC L4 Pilots</t>
  </si>
  <si>
    <t>&gt;= ACTC L3 Pilots</t>
  </si>
  <si>
    <t>&gt;= ACTC L2 Pilots</t>
  </si>
  <si>
    <t>&gt;= ACTC L4 NFO</t>
  </si>
  <si>
    <t>&gt;= ACTC L3 NFO</t>
  </si>
  <si>
    <t>&gt;= ACTC L1 NFO</t>
  </si>
  <si>
    <t>FE Upper Limit</t>
  </si>
  <si>
    <t>FE Lower Limit</t>
  </si>
  <si>
    <t>&gt;= ACTC L4 FE</t>
  </si>
  <si>
    <t>&gt;= ACTC L3 FE</t>
  </si>
  <si>
    <t>&gt;= ACTC L1 FE</t>
  </si>
  <si>
    <t>&gt;= ACTC L4 AW</t>
  </si>
  <si>
    <t>&gt;= ACTC L3 AW</t>
  </si>
  <si>
    <t>&gt;= ACTC L1 AW</t>
  </si>
  <si>
    <t>&gt;= ACTC L4 EW</t>
  </si>
  <si>
    <t>&gt;= ACTC L3 EW</t>
  </si>
  <si>
    <t>&gt;= ACTC L1 EW</t>
  </si>
  <si>
    <t>IFT Upper Limit</t>
  </si>
  <si>
    <t>IFT Lower Limit</t>
  </si>
  <si>
    <t>&gt;= ACTC L4 IFT</t>
  </si>
  <si>
    <t>&gt;= ACTC L3 IFT</t>
  </si>
  <si>
    <t>&gt;= ACTC L1 IFT</t>
  </si>
  <si>
    <t>June 2017</t>
  </si>
  <si>
    <t>NFO/FE/AW LL Manning</t>
  </si>
  <si>
    <t>EW/IFT LL Manning</t>
  </si>
  <si>
    <t>Required Crews On Board</t>
  </si>
  <si>
    <t># Skilled Crews</t>
  </si>
  <si>
    <t>NA</t>
  </si>
  <si>
    <t>Ready ASUW Mission Systems (D Codes)</t>
  </si>
  <si>
    <t>Ready Advanced ASW Mission Systems (E Codes)</t>
  </si>
  <si>
    <t>Ready Countermeasures Mission Systems (AIP/BMUP only) (F Codes)</t>
  </si>
  <si>
    <t>Ready Weapon Mission Systems (G Codes)</t>
  </si>
  <si>
    <t>Ready Basic ASW Mission Systems (H Codes)</t>
  </si>
  <si>
    <t>Ready C4I Mission Systems (AIP/BMUP only) (I Codes)</t>
  </si>
  <si>
    <t>Ready Surveillance Mission Systems (J Codes)</t>
  </si>
  <si>
    <t>Ready Basic Tactical Mission Systems (K Codes group 1)</t>
  </si>
  <si>
    <t>Ready Mobility Mission Systems (K Codes group 2)</t>
  </si>
  <si>
    <t>P-3C 6PAA RC v220921</t>
  </si>
  <si>
    <t>Readiness Standards VP FRS</t>
  </si>
  <si>
    <t>P-3C</t>
  </si>
  <si>
    <t>P-8A</t>
  </si>
  <si>
    <t>VP-30 PAA =</t>
  </si>
  <si>
    <t>FRS</t>
  </si>
  <si>
    <t>A-1</t>
  </si>
  <si>
    <t>A-2</t>
  </si>
  <si>
    <t>VP-30</t>
  </si>
  <si>
    <t>Readiness Standards VP P-8A, P-3C Test</t>
  </si>
  <si>
    <t>PAA</t>
  </si>
  <si>
    <t>Unit</t>
  </si>
  <si>
    <t>VX-1</t>
  </si>
  <si>
    <t>VX-20</t>
  </si>
  <si>
    <t>VX-30</t>
  </si>
  <si>
    <t>VXS-1</t>
  </si>
  <si>
    <t>Test</t>
  </si>
  <si>
    <t>A+1</t>
  </si>
  <si>
    <t>A+2</t>
  </si>
  <si>
    <t>TEST</t>
  </si>
  <si>
    <t>TMS</t>
  </si>
  <si>
    <t>Mission Systems</t>
  </si>
  <si>
    <t>Navy P-3C TMS Reduced MET to Mission System Map</t>
  </si>
  <si>
    <t>Mission Capable (MC)</t>
  </si>
  <si>
    <t>Ready IMC Flight Mission Systems (L)</t>
  </si>
  <si>
    <t>Ready Mobility Mission Systems (K Codes GRP 2)</t>
  </si>
  <si>
    <t>Ready Basic Tactical Mission Systems (K Codes GRP 1)</t>
  </si>
  <si>
    <t>Ready Tactiacal Support Mission Systems (C Codes)</t>
  </si>
  <si>
    <t>MISSINON ESSENTIAL TASKS</t>
  </si>
  <si>
    <t>NTA 1.1.2.3.3</t>
  </si>
  <si>
    <t>Conduct Flight Operations</t>
  </si>
  <si>
    <t>NTA 1.4.1</t>
  </si>
  <si>
    <t>Conduct Mining</t>
  </si>
  <si>
    <t>NTA 1.4.8.2</t>
  </si>
  <si>
    <t>Conduct Maritime Counter Drug Operations</t>
  </si>
  <si>
    <t>NTA 2.2.1</t>
  </si>
  <si>
    <t>Collect Target information</t>
  </si>
  <si>
    <t>NTA 2.2.3</t>
  </si>
  <si>
    <t>Perform Tactical Reconnaissance and Surveillance</t>
  </si>
  <si>
    <t>NTA 2.2.3.1</t>
  </si>
  <si>
    <t>Seach Assigned Areas</t>
  </si>
  <si>
    <t>NTA 3.2.1.1</t>
  </si>
  <si>
    <t>Attack surface targets</t>
  </si>
  <si>
    <t>NTA 3.2.1.2</t>
  </si>
  <si>
    <t>Attack Submerged Targets</t>
  </si>
  <si>
    <t>NTA 5.4.1.2</t>
  </si>
  <si>
    <t xml:space="preserve">Exercise Tactical Command and Control </t>
  </si>
  <si>
    <t>OP 2.3.2</t>
  </si>
  <si>
    <t>Collect Operational Information</t>
  </si>
  <si>
    <t>Navy P-8A TMS Reduced MET to Mission System Map</t>
  </si>
  <si>
    <t>Ready P-8A Tactical Support Mission Systems (EOC C)</t>
  </si>
  <si>
    <t>Ready P-8A Weapon Mission Systems (EOC D)</t>
  </si>
  <si>
    <t>Ready P-8A Countermeasures Mission Systems (EOC E)</t>
  </si>
  <si>
    <t>Ready P-8A Surveillance Mission Systems (EOC F)</t>
  </si>
  <si>
    <t>Ready P-8A ASUW Mission Systems (EOC G)</t>
  </si>
  <si>
    <t>Ready P-8A ASW Mission Systems (EOC H)</t>
  </si>
  <si>
    <t>Ready P-8A C4I Mission Systems (EOC I)</t>
  </si>
  <si>
    <t>Ready P-8A Basic Tactical Mission Systems (EOC J)</t>
  </si>
  <si>
    <t>Ready P-8A Mobility Mission Systems (EOC K)</t>
  </si>
  <si>
    <t>MISSION ESSENTIAL TASKS</t>
  </si>
  <si>
    <t>Search Assigned Areas</t>
  </si>
  <si>
    <t>NTA 4.2.1.2</t>
  </si>
  <si>
    <t>Conduct Aerial Refueling</t>
  </si>
  <si>
    <t>MPRA Mission System Utilization per Flight Task</t>
  </si>
  <si>
    <t>P-3C Mission System Utilization per Flight Task</t>
  </si>
  <si>
    <t>P-8 4PAA VPU v220921</t>
  </si>
  <si>
    <t>EP-3 10PAA v220921</t>
  </si>
  <si>
    <t>MQ-4C 4PAA v220921</t>
  </si>
  <si>
    <t>N/A</t>
  </si>
  <si>
    <t>Tab Inventory</t>
  </si>
  <si>
    <t>Mission System Groups VP P-8A</t>
  </si>
  <si>
    <t>** MESM:</t>
  </si>
  <si>
    <t>Integrated Aircraft Mission Systems Configuration</t>
  </si>
  <si>
    <t>COMMUNITY</t>
  </si>
  <si>
    <t>TMS AFFECTED</t>
  </si>
  <si>
    <t>Mission System Group</t>
  </si>
  <si>
    <t xml:space="preserve">COMPONENTS/SYSTEMS/ MESM CODES </t>
  </si>
  <si>
    <t>VP</t>
  </si>
  <si>
    <t>SEE MESM FOR LISTING</t>
  </si>
  <si>
    <t>Ready P-8A ASUW Mission Systems  (EOC G)</t>
  </si>
  <si>
    <t>See Definitions</t>
  </si>
  <si>
    <t>Non-Integrated Mission Systems (INVENTORY ITEMS)</t>
  </si>
  <si>
    <t>Mission Systems TOOLS TITLES</t>
  </si>
  <si>
    <t>CONFIGURATIONS THAT APPLY</t>
  </si>
  <si>
    <t>** See the MESM for full details</t>
  </si>
  <si>
    <t>Mission System Groups VP P-3C</t>
  </si>
  <si>
    <t>AIR CONDITIONING (GROUND AIR INOP)</t>
  </si>
  <si>
    <t>ANGLE OF ATTACK (AOA)</t>
  </si>
  <si>
    <t xml:space="preserve">APU  </t>
  </si>
  <si>
    <t xml:space="preserve">ASW-31 AFCS (3 AXIS, SINGLE CHANNEL INOP IN PITCH, ROLL OR YAW)  </t>
  </si>
  <si>
    <t>AUTOMATIC DIRECTION FINDER (ADF)</t>
  </si>
  <si>
    <t>BARO ALTIMETER (NAVIGATOR)</t>
  </si>
  <si>
    <t>CLOCK (1 INOP)</t>
  </si>
  <si>
    <t>DIGITAL MAGNETIC TAPE UNIT (1 INOP)</t>
  </si>
  <si>
    <t>ELECTRONIC FLIGHT DISPLAY SYSTEM (EFDS)  (NAVIGATOR)</t>
  </si>
  <si>
    <t xml:space="preserve">ELECTRONIC HORIZONTAL SITUATION INDICATOR (EHSI) (NAVIGATOR)  </t>
  </si>
  <si>
    <t xml:space="preserve">GLOBAL POSITIONING SYSTEM (GPS) (CDNU 1 OR 2 INOP)  </t>
  </si>
  <si>
    <t>ICS (AFT OBS 1 INOP)</t>
  </si>
  <si>
    <t xml:space="preserve">INERTIALS (1 INOP IN NAV MODE)  </t>
  </si>
  <si>
    <t>INSTRUMENT LANDING SYSTEM (ILS)</t>
  </si>
  <si>
    <t>MARKER BEACON</t>
  </si>
  <si>
    <t>PEANUT GYRO</t>
  </si>
  <si>
    <t xml:space="preserve">RADAR ALTIMETER SYSTEM (1 INOP)  </t>
  </si>
  <si>
    <t>RADAR ALTITUDE WARNING SET (RAWS) 1 INOP</t>
  </si>
  <si>
    <t>REFUELING PANEL/TOTALIZER INDICATORS</t>
  </si>
  <si>
    <t xml:space="preserve">STANDBY GYRO  </t>
  </si>
  <si>
    <t>TURN RATE GYRO (COPILOT)</t>
  </si>
  <si>
    <t>VOR 1 OR VOR 2 (1 INOP)</t>
  </si>
  <si>
    <t>HARPOON INTERCONNECTION BOX</t>
  </si>
  <si>
    <t>MAVERICK INTERCONNECTION BOX</t>
  </si>
  <si>
    <t>MISSILE SYSTEMS</t>
  </si>
  <si>
    <t>ASW WEAPONS</t>
  </si>
  <si>
    <t xml:space="preserve">AUTOPILOT  </t>
  </si>
  <si>
    <t>ICS (STATIONS 7 OR 8 INOP)</t>
  </si>
  <si>
    <t>MAD</t>
  </si>
  <si>
    <t>RADAR (AFT) APS-115</t>
  </si>
  <si>
    <t>SASP (1 STATION INOP)</t>
  </si>
  <si>
    <t>SLTs (ONLINE INOP)</t>
  </si>
  <si>
    <t>STATION 7/8 DISPLAYS (1 INOP, MIDDLE DISPLAY N/A)</t>
  </si>
  <si>
    <t>TORPEDO PRESETTER</t>
  </si>
  <si>
    <t xml:space="preserve">COUNTERMEASURES DISPENSING UNIT  </t>
  </si>
  <si>
    <t>MISSILE WARNING SET</t>
  </si>
  <si>
    <t>ARM/ORD SYSTEM</t>
  </si>
  <si>
    <t>ARMAMENT INTERCONNECTION (FWD OR AFT INOP)</t>
  </si>
  <si>
    <t xml:space="preserve">GLOBAL POSITIONING SYSTEM (GPS) </t>
  </si>
  <si>
    <t>JETTISON SYSTEM</t>
  </si>
  <si>
    <t>CASS TRANSMITTER</t>
  </si>
  <si>
    <t>DIGITAL ENTRY PANELS (STATIONS 7 OR 8 INOP)</t>
  </si>
  <si>
    <t>ICS (ORD, OR STATIONS 7 AND 8 INOP)</t>
  </si>
  <si>
    <t>OTPI</t>
  </si>
  <si>
    <t>PSLTs INOP (ALL)</t>
  </si>
  <si>
    <t>SASP (BOTH STATIONS INOP)</t>
  </si>
  <si>
    <t>SEARCH STORES INTERCONNECTION BOX (SSIB)</t>
  </si>
  <si>
    <t xml:space="preserve">STATION 7/8 DISPLAYS (2 INOP, MIDDLE DISPLAY N/A)  </t>
  </si>
  <si>
    <t>TIME CODE GENERATOR</t>
  </si>
  <si>
    <t>Ready C4I Mission Systems (AIP BMUP only) (I Codes)</t>
  </si>
  <si>
    <t>COMMON DATA LINK (CDL)</t>
  </si>
  <si>
    <t xml:space="preserve">DATA LINK/DATA LINK SECURE  </t>
  </si>
  <si>
    <t xml:space="preserve">HF SECURE  </t>
  </si>
  <si>
    <t xml:space="preserve">HF SYSTEMS (1 INOP)  </t>
  </si>
  <si>
    <t>ICE</t>
  </si>
  <si>
    <t>MATT</t>
  </si>
  <si>
    <t xml:space="preserve">OASIS  </t>
  </si>
  <si>
    <t>TCDL</t>
  </si>
  <si>
    <t xml:space="preserve">UHF SECURE  </t>
  </si>
  <si>
    <t>MINI-DAMA</t>
  </si>
  <si>
    <t>APS-137 ISAR</t>
  </si>
  <si>
    <t>APS-137 SAR</t>
  </si>
  <si>
    <t>APS-149 RADAR SYSTEMS (MINOR SYSTEM DEGRADATION)</t>
  </si>
  <si>
    <t>APX-76 INTERROGATOR/SIF SECURE</t>
  </si>
  <si>
    <t>EO SYSTEMS INOP (AIMS, ASX6)</t>
  </si>
  <si>
    <t>ESM</t>
  </si>
  <si>
    <t xml:space="preserve">ESM ANALYZER </t>
  </si>
  <si>
    <t xml:space="preserve">INFRARED DETECTION SYSTEM (IRDS)  </t>
  </si>
  <si>
    <t>SEI SYSTEM INOP OR NOT INSTALLED</t>
  </si>
  <si>
    <t>Ready Basic Tactical Mission Systems (K Codes)</t>
  </si>
  <si>
    <t>ALPHANUMERIC KEYSET  (TACCO,NC, OR SS3)</t>
  </si>
  <si>
    <t>APS-149 RADAR SYSTEMS (OPERATIONAL WITH SIGNIFICANT DEGRADATION, 50% LOSS OR MORE)</t>
  </si>
  <si>
    <t xml:space="preserve">CD-124/ASQ-222(V)VIDEO DISTRIBUTION CONTROLLER  </t>
  </si>
  <si>
    <t>CENTRAL COMPUTER SYSTEM</t>
  </si>
  <si>
    <t xml:space="preserve">CV-2461 SIGNAL DATA CONVERTER (SDC)  </t>
  </si>
  <si>
    <t>DATA PROCESSING SYSTEM</t>
  </si>
  <si>
    <t>DISPLAY  (NAV, TACCO, OR SS3)</t>
  </si>
  <si>
    <t xml:space="preserve">FLIGHT STATION TACTICAL DISPLAY  </t>
  </si>
  <si>
    <t>HARD COPY RECORDER</t>
  </si>
  <si>
    <t>IFF (MODE 2,4)</t>
  </si>
  <si>
    <t xml:space="preserve">KEYSET/DIGITAL ENTRY PANEL (PILOT)  </t>
  </si>
  <si>
    <t xml:space="preserve">PROGRAMMABLE ENTRY PANEL (PEP) (NAV,TACCO, OR SS3)  </t>
  </si>
  <si>
    <t>RADALT (BOTH INOP)</t>
  </si>
  <si>
    <t>RADAR ALTITUDE WARNING SET (RAWS) BOTH INOP</t>
  </si>
  <si>
    <t xml:space="preserve">RDSS/ADSS or DIGITAL MAGNETIC TAPE SYSTEM (DMTS)   </t>
  </si>
  <si>
    <t>RECORDERS (ALL INOP)</t>
  </si>
  <si>
    <t>SATCOM</t>
  </si>
  <si>
    <t>TACCO IP-919/ASA-70 ARO</t>
  </si>
  <si>
    <t>TACTICAL DATA PROCESSOR (TDP)</t>
  </si>
  <si>
    <t>TRACKBALL (NAV, TACCO, OR SS3)</t>
  </si>
  <si>
    <t>VDC</t>
  </si>
  <si>
    <t>Ready Mobility Mission Systems (K Codes)</t>
  </si>
  <si>
    <t xml:space="preserve">AIR CONDITIONING SYSTEM (DEGRADED)  </t>
  </si>
  <si>
    <t xml:space="preserve">FUEL SYSTEM (TANK #5 NOT USABLE) </t>
  </si>
  <si>
    <t>HF COMMUNICATION (2 INOP)</t>
  </si>
  <si>
    <t>ICS (TACCO, NAV, OR SS3)</t>
  </si>
  <si>
    <t>INERTIALS (1 SYSTEM INOP)</t>
  </si>
  <si>
    <t>MIDS (TACAN FUNCTIONS)</t>
  </si>
  <si>
    <t xml:space="preserve">PRESSURIZATION (1 EDC INOP) </t>
  </si>
  <si>
    <t xml:space="preserve">RADAR (FWD) (APG-66, APS-115, OR APS-137) </t>
  </si>
  <si>
    <t>STRUCTURAL DATA RECORDER</t>
  </si>
  <si>
    <t>TRUE AIRSPEED COMPUTER (TAS)</t>
  </si>
  <si>
    <t xml:space="preserve">UHF/VHF SYSTEMS (1 INOP)  </t>
  </si>
  <si>
    <t>ANTI-DE-ICING SYSTEM</t>
  </si>
  <si>
    <t>ATTITUDE SOURCE (INS 1 ATT REF, INS 2 ATT REF) (1 INOP)</t>
  </si>
  <si>
    <t>FORWARD WINDSHIELD HEAT</t>
  </si>
  <si>
    <t>IFF (MODE 3/C)</t>
  </si>
  <si>
    <t>MIDS (TACAN FUNCTIONS), VOR 1, VOR 2 (2 INOP)</t>
  </si>
  <si>
    <t>STATIC DISCHARGERS</t>
  </si>
  <si>
    <t>TURN RATE GYRO (PILOT)</t>
  </si>
  <si>
    <t xml:space="preserve">UHF/VHF SYSTEMS (2 INOP)  </t>
  </si>
  <si>
    <t>WINDSHIELD WIPERS</t>
  </si>
  <si>
    <t>Item</t>
  </si>
  <si>
    <t>Definition</t>
  </si>
  <si>
    <t>Mission Capable (MC) is defined in reference (e).  MC is a “Material condition of an aircraft that can perform at least one and potentially all of its missions. MC Hours = EIS Hours - NMC Hours.”  MC in this sense is not used in this document, but describes its current status as on the moment it was reported in the AMSRRWeb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</si>
</sst>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0.000"/>
    <numFmt numFmtId="167" formatCode="\R\+0"/>
    <numFmt numFmtId="168" formatCode="0.0%"/>
    <numFmt numFmtId="169" formatCode="[$-409]d\-mmm\-yy;@"/>
  </numFmts>
  <fonts count="61" x14ac:knownFonts="1">
    <font>
      <sz val="10"/>
      <name val="Arial"/>
    </font>
    <font>
      <sz val="11"/>
      <color theme="1"/>
      <name val="Calibri"/>
      <family val="2"/>
      <scheme val="minor"/>
    </font>
    <font>
      <sz val="10"/>
      <name val="Arial"/>
      <family val="2"/>
    </font>
    <font>
      <sz val="8"/>
      <name val="Arial"/>
      <family val="2"/>
    </font>
    <font>
      <sz val="6"/>
      <name val="Arial"/>
      <family val="2"/>
    </font>
    <font>
      <b/>
      <sz val="8"/>
      <color indexed="81"/>
      <name val="Tahoma"/>
      <family val="2"/>
    </font>
    <font>
      <sz val="8"/>
      <color indexed="81"/>
      <name val="Tahoma"/>
      <family val="2"/>
    </font>
    <font>
      <sz val="10"/>
      <name val="Arial"/>
      <family val="2"/>
    </font>
    <font>
      <sz val="11"/>
      <color theme="1"/>
      <name val="Calibri"/>
      <family val="2"/>
      <scheme val="minor"/>
    </font>
    <font>
      <sz val="9"/>
      <name val="Calibri"/>
      <family val="2"/>
      <scheme val="minor"/>
    </font>
    <font>
      <sz val="8"/>
      <name val="Calibri"/>
      <family val="2"/>
      <scheme val="minor"/>
    </font>
    <font>
      <b/>
      <i/>
      <sz val="9"/>
      <name val="Calibri"/>
      <family val="2"/>
      <scheme val="minor"/>
    </font>
    <font>
      <b/>
      <sz val="9"/>
      <name val="Calibri"/>
      <family val="2"/>
      <scheme val="minor"/>
    </font>
    <font>
      <sz val="9"/>
      <color indexed="8"/>
      <name val="Calibri"/>
      <family val="2"/>
      <scheme val="minor"/>
    </font>
    <font>
      <b/>
      <sz val="9"/>
      <color indexed="12"/>
      <name val="Calibri"/>
      <family val="2"/>
      <scheme val="minor"/>
    </font>
    <font>
      <i/>
      <sz val="9"/>
      <name val="Calibri"/>
      <family val="2"/>
      <scheme val="minor"/>
    </font>
    <font>
      <b/>
      <i/>
      <sz val="11"/>
      <name val="Calibri"/>
      <family val="2"/>
      <scheme val="minor"/>
    </font>
    <font>
      <sz val="11"/>
      <name val="Calibri"/>
      <family val="2"/>
      <scheme val="minor"/>
    </font>
    <font>
      <b/>
      <i/>
      <sz val="11"/>
      <color rgb="FF00CC00"/>
      <name val="Calibri"/>
      <family val="2"/>
      <scheme val="minor"/>
    </font>
    <font>
      <b/>
      <i/>
      <sz val="11"/>
      <color theme="1"/>
      <name val="Calibri"/>
      <family val="2"/>
      <scheme val="minor"/>
    </font>
    <font>
      <b/>
      <sz val="11"/>
      <name val="Calibri"/>
      <family val="2"/>
      <scheme val="minor"/>
    </font>
    <font>
      <b/>
      <sz val="14"/>
      <name val="Calibri"/>
      <family val="2"/>
      <scheme val="minor"/>
    </font>
    <font>
      <b/>
      <sz val="12"/>
      <name val="Calibri"/>
      <family val="2"/>
      <scheme val="minor"/>
    </font>
    <font>
      <sz val="6"/>
      <name val="Calibri"/>
      <family val="2"/>
      <scheme val="minor"/>
    </font>
    <font>
      <b/>
      <sz val="8"/>
      <name val="Calibri"/>
      <family val="2"/>
      <scheme val="minor"/>
    </font>
    <font>
      <b/>
      <i/>
      <sz val="10"/>
      <name val="Calibri"/>
      <family val="2"/>
      <scheme val="minor"/>
    </font>
    <font>
      <sz val="9"/>
      <color theme="3"/>
      <name val="Calibri"/>
      <family val="2"/>
      <scheme val="minor"/>
    </font>
    <font>
      <u/>
      <sz val="9"/>
      <color theme="10"/>
      <name val="Calibri"/>
      <family val="2"/>
    </font>
    <font>
      <b/>
      <sz val="16"/>
      <name val="Calibri"/>
      <family val="2"/>
      <scheme val="minor"/>
    </font>
    <font>
      <b/>
      <sz val="10"/>
      <name val="Calibri"/>
      <family val="2"/>
      <scheme val="minor"/>
    </font>
    <font>
      <sz val="8"/>
      <color indexed="8"/>
      <name val="Calibri"/>
      <family val="2"/>
      <scheme val="minor"/>
    </font>
    <font>
      <sz val="10"/>
      <name val="Calibri"/>
      <family val="2"/>
      <scheme val="minor"/>
    </font>
    <font>
      <sz val="14"/>
      <name val="Calibri"/>
      <family val="2"/>
      <scheme val="minor"/>
    </font>
    <font>
      <u/>
      <sz val="10"/>
      <color indexed="12"/>
      <name val="Arial"/>
      <family val="2"/>
    </font>
    <font>
      <u/>
      <sz val="11"/>
      <color theme="10"/>
      <name val="Calibri"/>
      <family val="2"/>
      <scheme val="minor"/>
    </font>
    <font>
      <u/>
      <sz val="10"/>
      <color indexed="12"/>
      <name val="Calibri"/>
      <family val="2"/>
      <scheme val="minor"/>
    </font>
    <font>
      <sz val="14"/>
      <color theme="10"/>
      <name val="Calibri"/>
      <family val="2"/>
      <scheme val="minor"/>
    </font>
    <font>
      <sz val="9"/>
      <color indexed="81"/>
      <name val="Tahoma"/>
      <family val="2"/>
    </font>
    <font>
      <b/>
      <sz val="9"/>
      <color indexed="81"/>
      <name val="Tahoma"/>
      <family val="2"/>
    </font>
    <font>
      <u/>
      <sz val="10"/>
      <color theme="10"/>
      <name val="Calibri"/>
      <family val="2"/>
    </font>
    <font>
      <u/>
      <sz val="11"/>
      <color theme="10"/>
      <name val="Calibri"/>
      <family val="2"/>
    </font>
    <font>
      <u/>
      <sz val="10"/>
      <color theme="10"/>
      <name val="Arial"/>
      <family val="2"/>
    </font>
    <font>
      <u/>
      <sz val="10"/>
      <color theme="10"/>
      <name val="Calibri"/>
      <family val="2"/>
      <scheme val="minor"/>
    </font>
    <font>
      <sz val="12"/>
      <name val="Calibri"/>
      <family val="2"/>
      <scheme val="minor"/>
    </font>
    <font>
      <b/>
      <sz val="8"/>
      <color indexed="55"/>
      <name val="Calibri"/>
      <family val="2"/>
      <scheme val="minor"/>
    </font>
    <font>
      <sz val="8"/>
      <color indexed="55"/>
      <name val="Calibri"/>
      <family val="2"/>
      <scheme val="minor"/>
    </font>
    <font>
      <b/>
      <sz val="12"/>
      <color theme="1"/>
      <name val="Calibri"/>
      <family val="2"/>
      <scheme val="minor"/>
    </font>
    <font>
      <sz val="10"/>
      <color rgb="FF0A0101"/>
      <name val="Calibri"/>
      <family val="2"/>
      <scheme val="minor"/>
    </font>
    <font>
      <b/>
      <sz val="14"/>
      <name val="Calibri"/>
      <family val="2"/>
    </font>
    <font>
      <sz val="8"/>
      <name val="Calibri"/>
      <family val="2"/>
    </font>
    <font>
      <b/>
      <sz val="10"/>
      <name val="Calibri"/>
      <family val="2"/>
    </font>
    <font>
      <u/>
      <sz val="12"/>
      <color theme="10"/>
      <name val="Calibri"/>
      <family val="2"/>
    </font>
    <font>
      <u/>
      <sz val="9"/>
      <color theme="10"/>
      <name val="Calibri"/>
      <family val="2"/>
      <scheme val="minor"/>
    </font>
    <font>
      <b/>
      <sz val="12"/>
      <name val="Arial"/>
      <family val="2"/>
    </font>
    <font>
      <b/>
      <sz val="11"/>
      <name val="Arial"/>
      <family val="2"/>
    </font>
    <font>
      <b/>
      <sz val="8"/>
      <name val="Arial"/>
      <family val="2"/>
    </font>
    <font>
      <b/>
      <sz val="14"/>
      <name val="Arial"/>
      <family val="2"/>
    </font>
    <font>
      <b/>
      <sz val="10"/>
      <color indexed="8"/>
      <name val="Arial"/>
      <family val="2"/>
    </font>
    <font>
      <b/>
      <sz val="10"/>
      <color theme="1"/>
      <name val="Arial"/>
      <family val="2"/>
    </font>
    <font>
      <b/>
      <sz val="10"/>
      <name val="Arial"/>
      <family val="2"/>
    </font>
    <font>
      <sz val="8"/>
      <name val="Tahoma"/>
      <family val="2"/>
    </font>
  </fonts>
  <fills count="1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2"/>
        <bgColor indexed="64"/>
      </patternFill>
    </fill>
    <fill>
      <patternFill patternType="solid">
        <fgColor rgb="FFFFFF99"/>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rgb="FF66FF66"/>
        <bgColor indexed="64"/>
      </patternFill>
    </fill>
    <fill>
      <patternFill patternType="solid">
        <fgColor rgb="FFFF79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6">
    <xf numFmtId="0" fontId="0" fillId="0" borderId="0"/>
    <xf numFmtId="43" fontId="8" fillId="0" borderId="0" applyFont="0" applyFill="0" applyBorder="0" applyAlignment="0" applyProtection="0"/>
    <xf numFmtId="0" fontId="8" fillId="0" borderId="0"/>
    <xf numFmtId="0" fontId="2" fillId="2" borderId="1">
      <alignment horizontal="center" textRotation="90"/>
    </xf>
    <xf numFmtId="0" fontId="2" fillId="0" borderId="0">
      <alignment textRotation="90"/>
    </xf>
    <xf numFmtId="9" fontId="2"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40" fillId="0" borderId="0" applyNumberFormat="0" applyFill="0" applyBorder="0" applyAlignment="0" applyProtection="0">
      <alignment vertical="top"/>
      <protection locked="0"/>
    </xf>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33" fillId="0" borderId="0" applyNumberFormat="0" applyFill="0" applyBorder="0" applyAlignment="0" applyProtection="0">
      <alignment vertical="top"/>
      <protection locked="0"/>
    </xf>
    <xf numFmtId="0" fontId="2" fillId="0" borderId="0"/>
    <xf numFmtId="0" fontId="2" fillId="0" borderId="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8" fillId="0" borderId="0"/>
    <xf numFmtId="0" fontId="41" fillId="0" borderId="0" applyNumberFormat="0" applyFill="0" applyBorder="0" applyAlignment="0" applyProtection="0">
      <alignment vertical="top"/>
      <protection locked="0"/>
    </xf>
    <xf numFmtId="0" fontId="1" fillId="0" borderId="0"/>
    <xf numFmtId="0" fontId="2" fillId="0" borderId="0"/>
  </cellStyleXfs>
  <cellXfs count="720">
    <xf numFmtId="0" fontId="0" fillId="0" borderId="0" xfId="0"/>
    <xf numFmtId="0" fontId="4" fillId="0" borderId="0" xfId="2" applyFont="1" applyFill="1"/>
    <xf numFmtId="0" fontId="4" fillId="0" borderId="0" xfId="2" applyFont="1" applyFill="1" applyAlignment="1">
      <alignment horizontal="left"/>
    </xf>
    <xf numFmtId="0" fontId="3" fillId="0" borderId="0" xfId="2" applyFont="1" applyFill="1"/>
    <xf numFmtId="0" fontId="3" fillId="0" borderId="0" xfId="2" applyFont="1" applyFill="1" applyAlignment="1">
      <alignment horizontal="left"/>
    </xf>
    <xf numFmtId="0" fontId="9" fillId="0" borderId="0" xfId="7" applyFont="1"/>
    <xf numFmtId="0" fontId="10" fillId="4" borderId="0" xfId="7" applyFont="1" applyFill="1"/>
    <xf numFmtId="0" fontId="11" fillId="5" borderId="12" xfId="7" applyFont="1" applyFill="1" applyBorder="1" applyAlignment="1">
      <alignment horizontal="right"/>
    </xf>
    <xf numFmtId="2" fontId="9" fillId="5" borderId="7" xfId="7" applyNumberFormat="1" applyFont="1" applyFill="1" applyBorder="1" applyAlignment="1">
      <alignment horizontal="center"/>
    </xf>
    <xf numFmtId="164" fontId="9" fillId="0" borderId="0" xfId="7" applyNumberFormat="1" applyFont="1" applyFill="1" applyBorder="1" applyAlignment="1">
      <alignment horizontal="center"/>
    </xf>
    <xf numFmtId="0" fontId="9" fillId="4" borderId="0" xfId="7" applyFont="1" applyFill="1" applyBorder="1"/>
    <xf numFmtId="0" fontId="9" fillId="0" borderId="0" xfId="7" applyFont="1" applyBorder="1"/>
    <xf numFmtId="0" fontId="11" fillId="5" borderId="8" xfId="7" applyFont="1" applyFill="1" applyBorder="1" applyAlignment="1">
      <alignment horizontal="right"/>
    </xf>
    <xf numFmtId="2" fontId="9" fillId="5" borderId="1" xfId="7" applyNumberFormat="1" applyFont="1" applyFill="1" applyBorder="1" applyAlignment="1">
      <alignment horizontal="center"/>
    </xf>
    <xf numFmtId="2" fontId="9" fillId="5" borderId="24" xfId="7" applyNumberFormat="1" applyFont="1" applyFill="1" applyBorder="1" applyAlignment="1">
      <alignment horizontal="center"/>
    </xf>
    <xf numFmtId="0" fontId="9" fillId="4" borderId="0" xfId="7" applyFont="1" applyFill="1"/>
    <xf numFmtId="0" fontId="9" fillId="4" borderId="0" xfId="7" applyFont="1" applyFill="1" applyBorder="1" applyAlignment="1">
      <alignment horizontal="center"/>
    </xf>
    <xf numFmtId="0" fontId="9" fillId="0" borderId="0" xfId="7" applyFont="1" applyFill="1" applyBorder="1"/>
    <xf numFmtId="2" fontId="12" fillId="5" borderId="1" xfId="7" applyNumberFormat="1" applyFont="1" applyFill="1" applyBorder="1" applyAlignment="1">
      <alignment horizontal="center"/>
    </xf>
    <xf numFmtId="2" fontId="12" fillId="5" borderId="24" xfId="7" applyNumberFormat="1" applyFont="1" applyFill="1" applyBorder="1" applyAlignment="1">
      <alignment horizontal="center"/>
    </xf>
    <xf numFmtId="0" fontId="11" fillId="5" borderId="15" xfId="7" applyFont="1" applyFill="1" applyBorder="1" applyAlignment="1">
      <alignment horizontal="right"/>
    </xf>
    <xf numFmtId="2" fontId="9" fillId="5" borderId="25" xfId="7" applyNumberFormat="1" applyFont="1" applyFill="1" applyBorder="1" applyAlignment="1">
      <alignment horizontal="center"/>
    </xf>
    <xf numFmtId="2" fontId="9" fillId="5" borderId="26" xfId="7" applyNumberFormat="1" applyFont="1" applyFill="1" applyBorder="1" applyAlignment="1">
      <alignment horizontal="center"/>
    </xf>
    <xf numFmtId="0" fontId="9" fillId="0" borderId="0" xfId="7" applyFont="1" applyFill="1"/>
    <xf numFmtId="0" fontId="9" fillId="5" borderId="29" xfId="7" applyFont="1" applyFill="1" applyBorder="1"/>
    <xf numFmtId="1" fontId="13" fillId="5" borderId="30" xfId="7" applyNumberFormat="1" applyFont="1" applyFill="1" applyBorder="1" applyAlignment="1">
      <alignment horizontal="center"/>
    </xf>
    <xf numFmtId="0" fontId="9" fillId="5" borderId="8" xfId="7" applyFont="1" applyFill="1" applyBorder="1"/>
    <xf numFmtId="0" fontId="13" fillId="5" borderId="14" xfId="7" applyFont="1" applyFill="1" applyBorder="1" applyAlignment="1">
      <alignment horizontal="center"/>
    </xf>
    <xf numFmtId="1" fontId="13" fillId="5" borderId="14" xfId="7" applyNumberFormat="1" applyFont="1" applyFill="1" applyBorder="1" applyAlignment="1">
      <alignment horizontal="center"/>
    </xf>
    <xf numFmtId="0" fontId="9" fillId="5" borderId="14" xfId="7" applyFont="1" applyFill="1" applyBorder="1" applyAlignment="1">
      <alignment horizontal="center" vertical="center"/>
    </xf>
    <xf numFmtId="0" fontId="9" fillId="5" borderId="15" xfId="7" applyFont="1" applyFill="1" applyBorder="1"/>
    <xf numFmtId="0" fontId="9" fillId="5" borderId="16" xfId="7" applyFont="1" applyFill="1" applyBorder="1" applyAlignment="1">
      <alignment horizontal="center" vertical="center"/>
    </xf>
    <xf numFmtId="0" fontId="9" fillId="5" borderId="30" xfId="7" applyFont="1" applyFill="1" applyBorder="1" applyAlignment="1">
      <alignment horizontal="center"/>
    </xf>
    <xf numFmtId="0" fontId="9" fillId="5" borderId="16" xfId="7" applyFont="1" applyFill="1" applyBorder="1" applyAlignment="1">
      <alignment horizontal="center"/>
    </xf>
    <xf numFmtId="0" fontId="9" fillId="5" borderId="29" xfId="7" applyFont="1" applyFill="1" applyBorder="1" applyAlignment="1">
      <alignment horizontal="right"/>
    </xf>
    <xf numFmtId="0" fontId="9" fillId="5" borderId="31" xfId="7" applyFont="1" applyFill="1" applyBorder="1" applyAlignment="1">
      <alignment horizontal="center"/>
    </xf>
    <xf numFmtId="0" fontId="9" fillId="0" borderId="0" xfId="7" applyFont="1" applyFill="1" applyBorder="1" applyAlignment="1">
      <alignment horizontal="center"/>
    </xf>
    <xf numFmtId="0" fontId="9" fillId="5" borderId="15" xfId="7" applyFont="1" applyFill="1" applyBorder="1" applyAlignment="1">
      <alignment horizontal="right"/>
    </xf>
    <xf numFmtId="0" fontId="9" fillId="5" borderId="25" xfId="7" applyFont="1" applyFill="1" applyBorder="1" applyAlignment="1">
      <alignment horizontal="center"/>
    </xf>
    <xf numFmtId="2" fontId="9" fillId="0" borderId="1" xfId="7" applyNumberFormat="1" applyFont="1" applyFill="1" applyBorder="1" applyAlignment="1">
      <alignment horizontal="center"/>
    </xf>
    <xf numFmtId="2" fontId="9" fillId="0" borderId="0" xfId="7" applyNumberFormat="1" applyFont="1" applyFill="1" applyBorder="1" applyAlignment="1">
      <alignment horizontal="center"/>
    </xf>
    <xf numFmtId="2" fontId="12" fillId="0" borderId="0" xfId="7" applyNumberFormat="1" applyFont="1" applyFill="1" applyBorder="1" applyAlignment="1">
      <alignment horizontal="center"/>
    </xf>
    <xf numFmtId="165" fontId="9" fillId="4" borderId="1" xfId="9" applyNumberFormat="1" applyFont="1" applyFill="1" applyBorder="1" applyAlignment="1">
      <alignment horizontal="center"/>
    </xf>
    <xf numFmtId="165" fontId="9" fillId="0" borderId="1" xfId="9" applyNumberFormat="1" applyFont="1" applyFill="1" applyBorder="1" applyAlignment="1">
      <alignment horizontal="center"/>
    </xf>
    <xf numFmtId="165" fontId="9" fillId="0" borderId="7" xfId="9" applyNumberFormat="1" applyFont="1" applyFill="1" applyBorder="1" applyAlignment="1">
      <alignment horizontal="center"/>
    </xf>
    <xf numFmtId="0" fontId="10" fillId="4" borderId="0" xfId="7" applyFont="1" applyFill="1" applyAlignment="1">
      <alignment horizontal="right"/>
    </xf>
    <xf numFmtId="1" fontId="10" fillId="4" borderId="0" xfId="0" applyNumberFormat="1" applyFont="1" applyFill="1" applyAlignment="1">
      <alignment horizontal="right"/>
    </xf>
    <xf numFmtId="164" fontId="10" fillId="4" borderId="0" xfId="0" applyNumberFormat="1" applyFont="1" applyFill="1"/>
    <xf numFmtId="164" fontId="10" fillId="4" borderId="0" xfId="7" applyNumberFormat="1" applyFont="1" applyFill="1"/>
    <xf numFmtId="164" fontId="10" fillId="4" borderId="0" xfId="0" applyNumberFormat="1" applyFont="1" applyFill="1" applyAlignment="1">
      <alignment horizontal="right"/>
    </xf>
    <xf numFmtId="164" fontId="10" fillId="4" borderId="0" xfId="0" quotePrefix="1" applyNumberFormat="1" applyFont="1" applyFill="1"/>
    <xf numFmtId="0" fontId="10" fillId="4" borderId="0" xfId="7" quotePrefix="1" applyFont="1" applyFill="1" applyAlignment="1">
      <alignment horizontal="right"/>
    </xf>
    <xf numFmtId="0" fontId="10" fillId="4" borderId="0" xfId="0" applyFont="1" applyFill="1"/>
    <xf numFmtId="164" fontId="10" fillId="4" borderId="0" xfId="7" applyNumberFormat="1" applyFont="1" applyFill="1" applyAlignment="1">
      <alignment horizontal="right"/>
    </xf>
    <xf numFmtId="168" fontId="10" fillId="4" borderId="0" xfId="8" applyNumberFormat="1" applyFont="1" applyFill="1" applyAlignment="1">
      <alignment horizontal="center"/>
    </xf>
    <xf numFmtId="164" fontId="10" fillId="4" borderId="0" xfId="8" applyNumberFormat="1" applyFont="1" applyFill="1" applyAlignment="1">
      <alignment horizontal="right"/>
    </xf>
    <xf numFmtId="0" fontId="10" fillId="0" borderId="0" xfId="2" applyFont="1" applyFill="1" applyAlignment="1">
      <alignment horizontal="right"/>
    </xf>
    <xf numFmtId="0" fontId="10" fillId="0" borderId="0" xfId="2" applyFont="1" applyFill="1"/>
    <xf numFmtId="164" fontId="10" fillId="0" borderId="1" xfId="2" applyNumberFormat="1" applyFont="1" applyFill="1" applyBorder="1" applyAlignment="1">
      <alignment horizontal="right"/>
    </xf>
    <xf numFmtId="164" fontId="10" fillId="0" borderId="2" xfId="2" applyNumberFormat="1" applyFont="1" applyFill="1" applyBorder="1" applyAlignment="1">
      <alignment horizontal="left"/>
    </xf>
    <xf numFmtId="164" fontId="10" fillId="0" borderId="0" xfId="2" applyNumberFormat="1" applyFont="1" applyFill="1" applyAlignment="1">
      <alignment horizontal="left"/>
    </xf>
    <xf numFmtId="164" fontId="10" fillId="0" borderId="0" xfId="2" applyNumberFormat="1" applyFont="1" applyFill="1"/>
    <xf numFmtId="1" fontId="10" fillId="0" borderId="0" xfId="2" applyNumberFormat="1" applyFont="1" applyFill="1"/>
    <xf numFmtId="164" fontId="10" fillId="0" borderId="0" xfId="2" quotePrefix="1" applyNumberFormat="1" applyFont="1" applyFill="1" applyAlignment="1">
      <alignment horizontal="left"/>
    </xf>
    <xf numFmtId="0" fontId="9" fillId="0" borderId="0" xfId="2" applyFont="1" applyFill="1" applyAlignment="1">
      <alignment horizontal="right"/>
    </xf>
    <xf numFmtId="0" fontId="9" fillId="0" borderId="0" xfId="2" applyFont="1" applyFill="1"/>
    <xf numFmtId="2" fontId="9" fillId="5" borderId="35" xfId="7" applyNumberFormat="1" applyFont="1" applyFill="1" applyBorder="1" applyAlignment="1">
      <alignment horizontal="center"/>
    </xf>
    <xf numFmtId="9" fontId="9" fillId="0" borderId="1" xfId="5" applyFont="1" applyFill="1" applyBorder="1" applyAlignment="1">
      <alignment horizontal="center"/>
    </xf>
    <xf numFmtId="9" fontId="9" fillId="0" borderId="1" xfId="5" applyFont="1" applyBorder="1" applyAlignment="1">
      <alignment horizontal="center"/>
    </xf>
    <xf numFmtId="0" fontId="9" fillId="0" borderId="1" xfId="7" applyFont="1" applyFill="1" applyBorder="1" applyAlignment="1">
      <alignment horizontal="right"/>
    </xf>
    <xf numFmtId="0" fontId="11" fillId="0" borderId="4" xfId="7" applyFont="1" applyFill="1" applyBorder="1"/>
    <xf numFmtId="0" fontId="9" fillId="0" borderId="1" xfId="2" applyFont="1" applyFill="1" applyBorder="1" applyAlignment="1">
      <alignment horizontal="right"/>
    </xf>
    <xf numFmtId="0" fontId="9" fillId="0" borderId="4" xfId="2" applyFont="1" applyFill="1" applyBorder="1" applyAlignment="1">
      <alignment horizontal="center" textRotation="90"/>
    </xf>
    <xf numFmtId="0" fontId="9" fillId="0" borderId="1" xfId="2" applyFont="1" applyFill="1" applyBorder="1" applyAlignment="1">
      <alignment horizontal="center" textRotation="90"/>
    </xf>
    <xf numFmtId="0" fontId="9" fillId="0" borderId="0" xfId="2" applyFont="1" applyFill="1" applyBorder="1" applyAlignment="1">
      <alignment horizontal="center" textRotation="90"/>
    </xf>
    <xf numFmtId="0" fontId="9" fillId="0" borderId="0" xfId="2" applyFont="1" applyFill="1" applyAlignment="1"/>
    <xf numFmtId="167" fontId="9" fillId="0" borderId="1" xfId="2" applyNumberFormat="1" applyFont="1" applyFill="1" applyBorder="1" applyAlignment="1">
      <alignment horizontal="center" vertical="center"/>
    </xf>
    <xf numFmtId="0" fontId="9" fillId="0" borderId="1"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1" xfId="2" applyNumberFormat="1" applyFont="1" applyFill="1" applyBorder="1" applyAlignment="1">
      <alignment horizontal="center" vertical="center"/>
    </xf>
    <xf numFmtId="0" fontId="9" fillId="0" borderId="0" xfId="2" applyFont="1" applyFill="1" applyBorder="1"/>
    <xf numFmtId="9" fontId="9" fillId="0" borderId="4" xfId="6" applyFont="1" applyFill="1" applyBorder="1" applyAlignment="1">
      <alignment horizontal="center"/>
    </xf>
    <xf numFmtId="0" fontId="9" fillId="0" borderId="0" xfId="2" applyFont="1" applyFill="1" applyBorder="1" applyAlignment="1">
      <alignment horizontal="center"/>
    </xf>
    <xf numFmtId="0" fontId="9" fillId="0" borderId="1" xfId="2" applyFont="1" applyFill="1" applyBorder="1" applyAlignment="1">
      <alignment horizontal="left"/>
    </xf>
    <xf numFmtId="164" fontId="9" fillId="0" borderId="4" xfId="2" applyNumberFormat="1" applyFont="1" applyFill="1" applyBorder="1" applyAlignment="1">
      <alignment horizontal="center"/>
    </xf>
    <xf numFmtId="164" fontId="9" fillId="0" borderId="0" xfId="2" applyNumberFormat="1" applyFont="1" applyFill="1" applyBorder="1"/>
    <xf numFmtId="0" fontId="12" fillId="0" borderId="4" xfId="2" applyFont="1" applyFill="1" applyBorder="1" applyAlignment="1">
      <alignment horizontal="left"/>
    </xf>
    <xf numFmtId="165" fontId="9" fillId="0" borderId="4" xfId="1" applyNumberFormat="1" applyFont="1" applyFill="1" applyBorder="1"/>
    <xf numFmtId="165" fontId="9" fillId="0" borderId="6" xfId="1" applyNumberFormat="1" applyFont="1" applyFill="1" applyBorder="1"/>
    <xf numFmtId="164" fontId="9" fillId="0" borderId="0" xfId="2" applyNumberFormat="1" applyFont="1" applyFill="1" applyBorder="1" applyAlignment="1">
      <alignment horizontal="right"/>
    </xf>
    <xf numFmtId="0" fontId="12" fillId="0" borderId="1" xfId="2" applyFont="1" applyFill="1" applyBorder="1" applyAlignment="1">
      <alignment horizontal="left"/>
    </xf>
    <xf numFmtId="0" fontId="9" fillId="0" borderId="7" xfId="2" applyFont="1" applyFill="1" applyBorder="1" applyAlignment="1">
      <alignment horizontal="left"/>
    </xf>
    <xf numFmtId="1" fontId="9" fillId="0" borderId="1" xfId="2" applyNumberFormat="1" applyFont="1" applyFill="1" applyBorder="1" applyAlignment="1">
      <alignment horizontal="center"/>
    </xf>
    <xf numFmtId="0" fontId="9" fillId="0" borderId="0" xfId="2" applyFont="1" applyFill="1" applyBorder="1" applyAlignment="1">
      <alignment horizontal="right"/>
    </xf>
    <xf numFmtId="1" fontId="9" fillId="0" borderId="0" xfId="2" applyNumberFormat="1" applyFont="1" applyFill="1" applyBorder="1" applyAlignment="1">
      <alignment horizontal="right"/>
    </xf>
    <xf numFmtId="0" fontId="9" fillId="0" borderId="0" xfId="2" applyFont="1" applyFill="1" applyBorder="1" applyAlignment="1">
      <alignment horizontal="left"/>
    </xf>
    <xf numFmtId="1" fontId="9" fillId="0" borderId="0" xfId="2" applyNumberFormat="1" applyFont="1" applyFill="1" applyBorder="1"/>
    <xf numFmtId="0" fontId="9" fillId="0" borderId="0" xfId="2" applyFont="1" applyFill="1" applyAlignment="1">
      <alignment horizontal="center"/>
    </xf>
    <xf numFmtId="9" fontId="9" fillId="0" borderId="0" xfId="2" applyNumberFormat="1" applyFont="1" applyFill="1" applyBorder="1"/>
    <xf numFmtId="0" fontId="11" fillId="0" borderId="0" xfId="7" applyFont="1" applyFill="1" applyBorder="1" applyAlignment="1"/>
    <xf numFmtId="0" fontId="9" fillId="5" borderId="12" xfId="7" applyFont="1" applyFill="1" applyBorder="1" applyAlignment="1">
      <alignment horizontal="right"/>
    </xf>
    <xf numFmtId="2" fontId="14" fillId="5" borderId="13" xfId="7" applyNumberFormat="1" applyFont="1" applyFill="1" applyBorder="1" applyAlignment="1">
      <alignment horizontal="right"/>
    </xf>
    <xf numFmtId="2" fontId="14" fillId="5" borderId="16" xfId="7" applyNumberFormat="1" applyFont="1" applyFill="1" applyBorder="1" applyAlignment="1">
      <alignment horizontal="right"/>
    </xf>
    <xf numFmtId="0" fontId="9" fillId="0" borderId="0" xfId="2" applyFont="1" applyFill="1" applyAlignment="1">
      <alignment horizontal="left"/>
    </xf>
    <xf numFmtId="2" fontId="9" fillId="0" borderId="1" xfId="6" applyNumberFormat="1" applyFont="1" applyFill="1" applyBorder="1" applyAlignment="1">
      <alignment horizontal="center"/>
    </xf>
    <xf numFmtId="2" fontId="9" fillId="0" borderId="4" xfId="6" applyNumberFormat="1" applyFont="1" applyFill="1" applyBorder="1" applyAlignment="1">
      <alignment horizontal="center"/>
    </xf>
    <xf numFmtId="164" fontId="9" fillId="0" borderId="0" xfId="6" applyNumberFormat="1" applyFont="1" applyFill="1" applyBorder="1" applyAlignment="1">
      <alignment horizontal="center"/>
    </xf>
    <xf numFmtId="164" fontId="9" fillId="0" borderId="0" xfId="2" applyNumberFormat="1" applyFont="1" applyFill="1" applyBorder="1" applyAlignment="1">
      <alignment horizontal="center"/>
    </xf>
    <xf numFmtId="164" fontId="9" fillId="0" borderId="6" xfId="2" applyNumberFormat="1" applyFont="1" applyFill="1" applyBorder="1" applyAlignment="1">
      <alignment horizontal="center"/>
    </xf>
    <xf numFmtId="2" fontId="9" fillId="0" borderId="7" xfId="2" applyNumberFormat="1" applyFont="1" applyFill="1" applyBorder="1" applyAlignment="1">
      <alignment horizontal="center"/>
    </xf>
    <xf numFmtId="2" fontId="9" fillId="0" borderId="17" xfId="2" applyNumberFormat="1" applyFont="1" applyFill="1" applyBorder="1" applyAlignment="1">
      <alignment horizontal="center"/>
    </xf>
    <xf numFmtId="1" fontId="9" fillId="0" borderId="7" xfId="2" applyNumberFormat="1" applyFont="1" applyFill="1" applyBorder="1" applyAlignment="1">
      <alignment horizontal="center"/>
    </xf>
    <xf numFmtId="0" fontId="9" fillId="5" borderId="36" xfId="7" applyFont="1" applyFill="1" applyBorder="1"/>
    <xf numFmtId="0" fontId="9" fillId="5" borderId="37" xfId="7" applyFont="1" applyFill="1" applyBorder="1" applyAlignment="1">
      <alignment horizontal="center" vertical="center"/>
    </xf>
    <xf numFmtId="0" fontId="9" fillId="0" borderId="0" xfId="7" applyFont="1" applyAlignment="1">
      <alignment horizontal="right"/>
    </xf>
    <xf numFmtId="0" fontId="13" fillId="6" borderId="1" xfId="7" applyFont="1" applyFill="1" applyBorder="1" applyAlignment="1">
      <alignment horizontal="center"/>
    </xf>
    <xf numFmtId="0" fontId="9" fillId="6" borderId="7" xfId="2" applyFont="1" applyFill="1" applyBorder="1" applyAlignment="1">
      <alignment horizontal="left"/>
    </xf>
    <xf numFmtId="0" fontId="9" fillId="6" borderId="25" xfId="2" applyFont="1" applyFill="1" applyBorder="1" applyAlignment="1">
      <alignment horizontal="left"/>
    </xf>
    <xf numFmtId="0" fontId="9" fillId="6" borderId="1" xfId="2" applyFont="1" applyFill="1" applyBorder="1" applyAlignment="1">
      <alignment horizontal="center"/>
    </xf>
    <xf numFmtId="0" fontId="9" fillId="5" borderId="6" xfId="7" applyFont="1" applyFill="1" applyBorder="1"/>
    <xf numFmtId="0" fontId="9" fillId="5" borderId="6" xfId="2" applyFont="1" applyFill="1" applyBorder="1" applyAlignment="1">
      <alignment horizontal="right"/>
    </xf>
    <xf numFmtId="0" fontId="9" fillId="5" borderId="1" xfId="2" applyFont="1" applyFill="1" applyBorder="1" applyAlignment="1">
      <alignment horizontal="right"/>
    </xf>
    <xf numFmtId="0" fontId="9" fillId="5" borderId="25" xfId="2" applyFont="1" applyFill="1" applyBorder="1" applyAlignment="1">
      <alignment horizontal="right"/>
    </xf>
    <xf numFmtId="0" fontId="17" fillId="0" borderId="0" xfId="0" applyFont="1"/>
    <xf numFmtId="0" fontId="18" fillId="0" borderId="0" xfId="8" applyFont="1"/>
    <xf numFmtId="169" fontId="17" fillId="0" borderId="14" xfId="0" applyNumberFormat="1" applyFont="1" applyBorder="1"/>
    <xf numFmtId="0" fontId="17" fillId="0" borderId="8" xfId="0" applyFont="1" applyBorder="1"/>
    <xf numFmtId="0" fontId="17" fillId="0" borderId="14" xfId="0" applyFont="1" applyBorder="1"/>
    <xf numFmtId="0" fontId="17" fillId="0" borderId="15" xfId="0" applyFont="1" applyBorder="1"/>
    <xf numFmtId="0" fontId="17" fillId="0" borderId="16" xfId="0" applyFont="1" applyBorder="1"/>
    <xf numFmtId="0" fontId="19" fillId="0" borderId="0" xfId="0" applyFont="1"/>
    <xf numFmtId="0" fontId="20" fillId="0" borderId="0" xfId="0" applyFont="1" applyAlignment="1">
      <alignment horizontal="center" vertical="center"/>
    </xf>
    <xf numFmtId="0" fontId="9" fillId="6" borderId="25" xfId="2" applyFont="1" applyFill="1" applyBorder="1" applyAlignment="1">
      <alignment horizontal="center"/>
    </xf>
    <xf numFmtId="2" fontId="9" fillId="0" borderId="4" xfId="7" applyNumberFormat="1" applyFont="1" applyFill="1" applyBorder="1" applyAlignment="1">
      <alignment horizontal="center"/>
    </xf>
    <xf numFmtId="1" fontId="9" fillId="0" borderId="4" xfId="9" applyNumberFormat="1" applyFont="1" applyFill="1" applyBorder="1" applyAlignment="1">
      <alignment horizontal="center"/>
    </xf>
    <xf numFmtId="165" fontId="9" fillId="0" borderId="4" xfId="9" applyNumberFormat="1" applyFont="1" applyFill="1" applyBorder="1" applyAlignment="1">
      <alignment horizontal="center"/>
    </xf>
    <xf numFmtId="165" fontId="9" fillId="4" borderId="4" xfId="9" applyNumberFormat="1" applyFont="1" applyFill="1" applyBorder="1" applyAlignment="1">
      <alignment horizontal="center"/>
    </xf>
    <xf numFmtId="165" fontId="9" fillId="0" borderId="11" xfId="9" applyNumberFormat="1" applyFont="1" applyFill="1" applyBorder="1" applyAlignment="1">
      <alignment horizontal="center"/>
    </xf>
    <xf numFmtId="0" fontId="9" fillId="5" borderId="9" xfId="7" applyFont="1" applyFill="1" applyBorder="1"/>
    <xf numFmtId="0" fontId="9" fillId="5" borderId="7" xfId="2" applyFont="1" applyFill="1" applyBorder="1" applyAlignment="1">
      <alignment horizontal="right"/>
    </xf>
    <xf numFmtId="0" fontId="9" fillId="5" borderId="3" xfId="7" applyFont="1" applyFill="1" applyBorder="1"/>
    <xf numFmtId="0" fontId="9" fillId="5" borderId="38" xfId="7" applyFont="1" applyFill="1" applyBorder="1"/>
    <xf numFmtId="0" fontId="9" fillId="5" borderId="38" xfId="2" applyFont="1" applyFill="1" applyBorder="1" applyAlignment="1">
      <alignment horizontal="right"/>
    </xf>
    <xf numFmtId="0" fontId="9" fillId="5" borderId="42" xfId="7" applyFont="1" applyFill="1" applyBorder="1"/>
    <xf numFmtId="0" fontId="9" fillId="5" borderId="44" xfId="7" applyFont="1" applyFill="1" applyBorder="1"/>
    <xf numFmtId="0" fontId="9" fillId="5" borderId="46" xfId="7" applyFont="1" applyFill="1" applyBorder="1"/>
    <xf numFmtId="0" fontId="9" fillId="5" borderId="34" xfId="7" applyFont="1" applyFill="1" applyBorder="1"/>
    <xf numFmtId="0" fontId="15" fillId="5" borderId="39" xfId="7" applyFont="1" applyFill="1" applyBorder="1"/>
    <xf numFmtId="0" fontId="15" fillId="5" borderId="40" xfId="7" applyFont="1" applyFill="1" applyBorder="1"/>
    <xf numFmtId="0" fontId="15" fillId="5" borderId="40" xfId="2" applyFont="1" applyFill="1" applyBorder="1" applyAlignment="1">
      <alignment horizontal="right"/>
    </xf>
    <xf numFmtId="0" fontId="15" fillId="5" borderId="31" xfId="2" applyFont="1" applyFill="1" applyBorder="1" applyAlignment="1">
      <alignment horizontal="center"/>
    </xf>
    <xf numFmtId="0" fontId="15" fillId="5" borderId="31" xfId="2" quotePrefix="1" applyFont="1" applyFill="1" applyBorder="1" applyAlignment="1">
      <alignment horizontal="center"/>
    </xf>
    <xf numFmtId="0" fontId="15" fillId="5" borderId="41" xfId="2" applyFont="1" applyFill="1" applyBorder="1" applyAlignment="1">
      <alignment horizontal="center"/>
    </xf>
    <xf numFmtId="0" fontId="9" fillId="5" borderId="1" xfId="2" applyFont="1" applyFill="1" applyBorder="1" applyAlignment="1">
      <alignment horizontal="center"/>
    </xf>
    <xf numFmtId="0" fontId="9" fillId="5" borderId="43" xfId="2" applyFont="1" applyFill="1" applyBorder="1" applyAlignment="1">
      <alignment horizontal="center"/>
    </xf>
    <xf numFmtId="0" fontId="9" fillId="5" borderId="25" xfId="2" applyFont="1" applyFill="1" applyBorder="1" applyAlignment="1">
      <alignment horizontal="center"/>
    </xf>
    <xf numFmtId="0" fontId="9" fillId="5" borderId="45" xfId="2" applyFont="1" applyFill="1" applyBorder="1" applyAlignment="1">
      <alignment horizontal="center"/>
    </xf>
    <xf numFmtId="9" fontId="9" fillId="5" borderId="7" xfId="2" applyNumberFormat="1" applyFont="1" applyFill="1" applyBorder="1" applyAlignment="1">
      <alignment horizontal="center"/>
    </xf>
    <xf numFmtId="9" fontId="9" fillId="5" borderId="13" xfId="2" applyNumberFormat="1" applyFont="1" applyFill="1" applyBorder="1" applyAlignment="1">
      <alignment horizontal="center"/>
    </xf>
    <xf numFmtId="9" fontId="9" fillId="5" borderId="1" xfId="2" applyNumberFormat="1" applyFont="1" applyFill="1" applyBorder="1" applyAlignment="1">
      <alignment horizontal="center"/>
    </xf>
    <xf numFmtId="9" fontId="9" fillId="5" borderId="14" xfId="2" applyNumberFormat="1" applyFont="1" applyFill="1" applyBorder="1" applyAlignment="1">
      <alignment horizontal="center"/>
    </xf>
    <xf numFmtId="9" fontId="9" fillId="5" borderId="25" xfId="2" applyNumberFormat="1" applyFont="1" applyFill="1" applyBorder="1" applyAlignment="1">
      <alignment horizontal="center"/>
    </xf>
    <xf numFmtId="9" fontId="9" fillId="5" borderId="16" xfId="2" applyNumberFormat="1" applyFont="1" applyFill="1" applyBorder="1" applyAlignment="1">
      <alignment horizontal="center"/>
    </xf>
    <xf numFmtId="0" fontId="21" fillId="0" borderId="0" xfId="2" applyFont="1" applyFill="1" applyAlignment="1">
      <alignment horizontal="right"/>
    </xf>
    <xf numFmtId="0" fontId="10" fillId="0" borderId="1" xfId="2" applyFont="1" applyFill="1" applyBorder="1" applyAlignment="1">
      <alignment horizontal="center"/>
    </xf>
    <xf numFmtId="0" fontId="10" fillId="0" borderId="1" xfId="2" applyFont="1" applyFill="1" applyBorder="1" applyAlignment="1">
      <alignment horizontal="center" wrapText="1"/>
    </xf>
    <xf numFmtId="0" fontId="23" fillId="0" borderId="0" xfId="2" applyFont="1" applyFill="1"/>
    <xf numFmtId="164" fontId="22" fillId="0" borderId="0" xfId="2" applyNumberFormat="1" applyFont="1" applyFill="1" applyAlignment="1">
      <alignment horizontal="center"/>
    </xf>
    <xf numFmtId="0" fontId="10" fillId="0" borderId="0" xfId="2" applyFont="1" applyFill="1" applyBorder="1"/>
    <xf numFmtId="0" fontId="10" fillId="0" borderId="0" xfId="2" applyFont="1" applyFill="1" applyBorder="1" applyAlignment="1">
      <alignment horizontal="right"/>
    </xf>
    <xf numFmtId="164" fontId="24" fillId="0" borderId="0" xfId="2" applyNumberFormat="1" applyFont="1" applyFill="1" applyAlignment="1">
      <alignment horizontal="center"/>
    </xf>
    <xf numFmtId="164" fontId="10" fillId="0" borderId="0" xfId="2" applyNumberFormat="1" applyFont="1" applyFill="1" applyBorder="1"/>
    <xf numFmtId="166" fontId="10" fillId="0" borderId="0" xfId="2" applyNumberFormat="1" applyFont="1" applyFill="1" applyBorder="1" applyAlignment="1">
      <alignment horizontal="left"/>
    </xf>
    <xf numFmtId="168" fontId="10" fillId="0" borderId="0" xfId="2" quotePrefix="1" applyNumberFormat="1" applyFont="1" applyFill="1" applyBorder="1" applyAlignment="1">
      <alignment horizontal="right"/>
    </xf>
    <xf numFmtId="168" fontId="10" fillId="0" borderId="0" xfId="2" applyNumberFormat="1" applyFont="1" applyFill="1" applyBorder="1" applyAlignment="1">
      <alignment horizontal="right"/>
    </xf>
    <xf numFmtId="2" fontId="10" fillId="0" borderId="0" xfId="2" applyNumberFormat="1" applyFont="1" applyFill="1" applyBorder="1" applyAlignment="1">
      <alignment horizontal="right"/>
    </xf>
    <xf numFmtId="2" fontId="10" fillId="0" borderId="0" xfId="2" applyNumberFormat="1" applyFont="1" applyFill="1" applyBorder="1"/>
    <xf numFmtId="164" fontId="10" fillId="0" borderId="0" xfId="2" applyNumberFormat="1" applyFont="1" applyFill="1" applyBorder="1" applyAlignment="1"/>
    <xf numFmtId="0" fontId="10" fillId="0" borderId="0" xfId="2" quotePrefix="1" applyFont="1" applyFill="1"/>
    <xf numFmtId="0" fontId="11" fillId="4" borderId="0" xfId="8" applyFont="1" applyFill="1" applyBorder="1"/>
    <xf numFmtId="0" fontId="9" fillId="4" borderId="0" xfId="8" applyFont="1" applyFill="1" applyBorder="1" applyAlignment="1">
      <alignment horizontal="center"/>
    </xf>
    <xf numFmtId="164" fontId="9" fillId="4" borderId="0" xfId="8" applyNumberFormat="1" applyFont="1" applyFill="1" applyBorder="1"/>
    <xf numFmtId="9" fontId="9" fillId="4" borderId="0" xfId="10" applyFont="1" applyFill="1" applyBorder="1"/>
    <xf numFmtId="164" fontId="9" fillId="0" borderId="0" xfId="8" applyNumberFormat="1" applyFont="1" applyFill="1" applyBorder="1"/>
    <xf numFmtId="9" fontId="9" fillId="0" borderId="0" xfId="10" applyFont="1" applyFill="1" applyBorder="1"/>
    <xf numFmtId="165" fontId="9" fillId="0" borderId="1" xfId="2" applyNumberFormat="1" applyFont="1" applyFill="1" applyBorder="1" applyAlignment="1">
      <alignment horizontal="center" vertical="center"/>
    </xf>
    <xf numFmtId="0" fontId="9" fillId="0" borderId="4" xfId="2" applyNumberFormat="1" applyFont="1" applyFill="1" applyBorder="1" applyAlignment="1">
      <alignment horizontal="center" vertical="center"/>
    </xf>
    <xf numFmtId="165" fontId="9" fillId="0" borderId="4" xfId="2" applyNumberFormat="1" applyFont="1" applyFill="1" applyBorder="1" applyAlignment="1">
      <alignment horizontal="center" vertical="center"/>
    </xf>
    <xf numFmtId="9" fontId="9" fillId="0" borderId="4" xfId="5" applyFont="1" applyFill="1" applyBorder="1" applyAlignment="1">
      <alignment horizontal="center"/>
    </xf>
    <xf numFmtId="9" fontId="9" fillId="0" borderId="4" xfId="5" applyFont="1" applyBorder="1" applyAlignment="1">
      <alignment horizontal="center"/>
    </xf>
    <xf numFmtId="1" fontId="9" fillId="0" borderId="11" xfId="2" applyNumberFormat="1" applyFont="1" applyFill="1" applyBorder="1" applyAlignment="1">
      <alignment horizontal="center"/>
    </xf>
    <xf numFmtId="0" fontId="13" fillId="6" borderId="4" xfId="7" applyFont="1" applyFill="1" applyBorder="1" applyAlignment="1">
      <alignment horizontal="center"/>
    </xf>
    <xf numFmtId="0" fontId="9" fillId="6" borderId="4" xfId="2" applyFont="1" applyFill="1" applyBorder="1" applyAlignment="1">
      <alignment horizontal="center"/>
    </xf>
    <xf numFmtId="1" fontId="9" fillId="0" borderId="4" xfId="2" applyNumberFormat="1" applyFont="1" applyFill="1" applyBorder="1" applyAlignment="1">
      <alignment horizontal="center"/>
    </xf>
    <xf numFmtId="0" fontId="9" fillId="6" borderId="33" xfId="2" applyFont="1" applyFill="1" applyBorder="1" applyAlignment="1">
      <alignment horizontal="center"/>
    </xf>
    <xf numFmtId="0" fontId="10" fillId="0" borderId="0" xfId="2" applyFont="1" applyFill="1" applyBorder="1" applyAlignment="1">
      <alignment horizontal="center" wrapText="1"/>
    </xf>
    <xf numFmtId="0" fontId="10" fillId="0" borderId="0" xfId="2" applyFont="1" applyFill="1" applyBorder="1" applyAlignment="1">
      <alignment horizontal="center" vertical="center"/>
    </xf>
    <xf numFmtId="164" fontId="10" fillId="0" borderId="0" xfId="2" applyNumberFormat="1" applyFont="1" applyFill="1" applyBorder="1" applyAlignment="1">
      <alignment horizontal="right"/>
    </xf>
    <xf numFmtId="164" fontId="10" fillId="0" borderId="0" xfId="2" applyNumberFormat="1" applyFont="1" applyFill="1" applyBorder="1" applyAlignment="1">
      <alignment horizontal="left"/>
    </xf>
    <xf numFmtId="2" fontId="10" fillId="4" borderId="0" xfId="0" applyNumberFormat="1" applyFont="1" applyFill="1" applyBorder="1" applyAlignment="1">
      <alignment horizontal="right"/>
    </xf>
    <xf numFmtId="0" fontId="10" fillId="0" borderId="0" xfId="2" quotePrefix="1" applyFont="1" applyFill="1" applyAlignment="1">
      <alignment horizontal="left"/>
    </xf>
    <xf numFmtId="164" fontId="10" fillId="0" borderId="0" xfId="2" applyNumberFormat="1" applyFont="1" applyFill="1" applyAlignment="1">
      <alignment horizontal="right"/>
    </xf>
    <xf numFmtId="164" fontId="10" fillId="4" borderId="0" xfId="13" applyNumberFormat="1" applyFont="1" applyFill="1" applyAlignment="1">
      <alignment horizontal="right"/>
    </xf>
    <xf numFmtId="168" fontId="10" fillId="4" borderId="0" xfId="14" applyNumberFormat="1" applyFont="1" applyFill="1" applyAlignment="1">
      <alignment horizontal="center"/>
    </xf>
    <xf numFmtId="164" fontId="10" fillId="4" borderId="0" xfId="14" applyNumberFormat="1" applyFont="1" applyFill="1" applyAlignment="1">
      <alignment horizontal="right"/>
    </xf>
    <xf numFmtId="164" fontId="10" fillId="0" borderId="0" xfId="2" quotePrefix="1" applyNumberFormat="1" applyFont="1" applyFill="1"/>
    <xf numFmtId="0" fontId="25" fillId="0" borderId="2" xfId="13" applyFont="1" applyFill="1" applyBorder="1"/>
    <xf numFmtId="0" fontId="11" fillId="0" borderId="0" xfId="13" applyFont="1" applyFill="1" applyBorder="1"/>
    <xf numFmtId="0" fontId="9" fillId="0" borderId="1" xfId="13" applyFont="1" applyBorder="1" applyAlignment="1">
      <alignment horizontal="left"/>
    </xf>
    <xf numFmtId="2" fontId="9" fillId="0" borderId="1" xfId="13" applyNumberFormat="1" applyFont="1" applyFill="1" applyBorder="1" applyAlignment="1">
      <alignment horizontal="center"/>
    </xf>
    <xf numFmtId="0" fontId="9" fillId="0" borderId="0" xfId="13" applyFont="1" applyBorder="1" applyAlignment="1">
      <alignment horizontal="left"/>
    </xf>
    <xf numFmtId="0" fontId="9" fillId="0" borderId="1" xfId="13" applyFont="1" applyBorder="1"/>
    <xf numFmtId="0" fontId="9" fillId="0" borderId="0" xfId="13" applyFont="1" applyBorder="1"/>
    <xf numFmtId="0" fontId="9" fillId="0" borderId="1" xfId="13" applyFont="1" applyFill="1" applyBorder="1"/>
    <xf numFmtId="0" fontId="9" fillId="0" borderId="0" xfId="13" applyFont="1" applyFill="1" applyBorder="1"/>
    <xf numFmtId="165" fontId="9" fillId="0" borderId="1" xfId="15" applyNumberFormat="1" applyFont="1" applyFill="1" applyBorder="1" applyAlignment="1">
      <alignment horizontal="center"/>
    </xf>
    <xf numFmtId="165" fontId="9" fillId="0" borderId="4" xfId="15" applyNumberFormat="1" applyFont="1" applyFill="1" applyBorder="1" applyAlignment="1">
      <alignment horizontal="center"/>
    </xf>
    <xf numFmtId="165" fontId="9" fillId="4" borderId="1" xfId="15" applyNumberFormat="1" applyFont="1" applyFill="1" applyBorder="1" applyAlignment="1">
      <alignment horizontal="center"/>
    </xf>
    <xf numFmtId="165" fontId="9" fillId="4" borderId="4" xfId="15" applyNumberFormat="1" applyFont="1" applyFill="1" applyBorder="1" applyAlignment="1">
      <alignment horizontal="center"/>
    </xf>
    <xf numFmtId="0" fontId="9" fillId="0" borderId="11" xfId="13" applyFont="1" applyFill="1" applyBorder="1"/>
    <xf numFmtId="165" fontId="9" fillId="0" borderId="7" xfId="15" applyNumberFormat="1" applyFont="1" applyFill="1" applyBorder="1" applyAlignment="1">
      <alignment horizontal="center"/>
    </xf>
    <xf numFmtId="165" fontId="9" fillId="0" borderId="11" xfId="15" applyNumberFormat="1" applyFont="1" applyFill="1" applyBorder="1" applyAlignment="1">
      <alignment horizontal="center"/>
    </xf>
    <xf numFmtId="0" fontId="25" fillId="0" borderId="4" xfId="13" applyFont="1" applyFill="1" applyBorder="1"/>
    <xf numFmtId="0" fontId="9" fillId="0" borderId="1" xfId="13" applyFont="1" applyFill="1" applyBorder="1" applyAlignment="1">
      <alignment horizontal="right"/>
    </xf>
    <xf numFmtId="9" fontId="9" fillId="0" borderId="0" xfId="6" applyFont="1" applyFill="1" applyBorder="1"/>
    <xf numFmtId="168" fontId="9" fillId="0" borderId="0" xfId="2" applyNumberFormat="1" applyFont="1" applyFill="1" applyBorder="1"/>
    <xf numFmtId="10" fontId="9" fillId="0" borderId="0" xfId="2" applyNumberFormat="1" applyFont="1" applyFill="1" applyBorder="1"/>
    <xf numFmtId="164" fontId="9" fillId="0" borderId="0" xfId="6" applyNumberFormat="1" applyFont="1" applyFill="1" applyBorder="1"/>
    <xf numFmtId="2" fontId="9" fillId="0" borderId="1" xfId="2" applyNumberFormat="1" applyFont="1" applyFill="1" applyBorder="1" applyAlignment="1">
      <alignment horizontal="right"/>
    </xf>
    <xf numFmtId="1" fontId="9" fillId="0" borderId="8" xfId="2" applyNumberFormat="1" applyFont="1" applyFill="1" applyBorder="1" applyAlignment="1">
      <alignment horizontal="left"/>
    </xf>
    <xf numFmtId="0" fontId="9" fillId="0" borderId="6" xfId="2" applyFont="1" applyFill="1" applyBorder="1"/>
    <xf numFmtId="0" fontId="23" fillId="0" borderId="0" xfId="2" applyFont="1" applyFill="1" applyAlignment="1">
      <alignment horizontal="left"/>
    </xf>
    <xf numFmtId="0" fontId="10" fillId="4" borderId="0" xfId="13" applyFont="1" applyFill="1"/>
    <xf numFmtId="9" fontId="9" fillId="0" borderId="0" xfId="2" applyNumberFormat="1" applyFont="1" applyFill="1" applyBorder="1" applyAlignment="1">
      <alignment horizontal="center"/>
    </xf>
    <xf numFmtId="0" fontId="12" fillId="0" borderId="0" xfId="2" applyFont="1" applyFill="1" applyBorder="1"/>
    <xf numFmtId="0" fontId="11" fillId="0" borderId="0" xfId="13" applyFont="1" applyFill="1" applyBorder="1" applyAlignment="1"/>
    <xf numFmtId="0" fontId="9" fillId="0" borderId="0" xfId="13" applyFont="1"/>
    <xf numFmtId="0" fontId="9" fillId="4" borderId="0" xfId="13" applyFont="1" applyFill="1"/>
    <xf numFmtId="0" fontId="11" fillId="5" borderId="12" xfId="13" applyFont="1" applyFill="1" applyBorder="1" applyAlignment="1">
      <alignment horizontal="right"/>
    </xf>
    <xf numFmtId="2" fontId="9" fillId="5" borderId="7" xfId="13" applyNumberFormat="1" applyFont="1" applyFill="1" applyBorder="1" applyAlignment="1">
      <alignment horizontal="center"/>
    </xf>
    <xf numFmtId="2" fontId="9" fillId="5" borderId="32" xfId="13" applyNumberFormat="1" applyFont="1" applyFill="1" applyBorder="1" applyAlignment="1">
      <alignment horizontal="center"/>
    </xf>
    <xf numFmtId="2" fontId="9" fillId="5" borderId="35" xfId="13" applyNumberFormat="1" applyFont="1" applyFill="1" applyBorder="1" applyAlignment="1">
      <alignment horizontal="center"/>
    </xf>
    <xf numFmtId="2" fontId="9" fillId="0" borderId="0" xfId="13" applyNumberFormat="1" applyFont="1" applyFill="1" applyBorder="1" applyAlignment="1">
      <alignment horizontal="center"/>
    </xf>
    <xf numFmtId="164" fontId="9" fillId="0" borderId="0" xfId="13" applyNumberFormat="1" applyFont="1" applyFill="1" applyBorder="1" applyAlignment="1">
      <alignment horizontal="center"/>
    </xf>
    <xf numFmtId="0" fontId="9" fillId="4" borderId="0" xfId="13" applyFont="1" applyFill="1" applyBorder="1"/>
    <xf numFmtId="0" fontId="11" fillId="5" borderId="8" xfId="13" applyFont="1" applyFill="1" applyBorder="1" applyAlignment="1">
      <alignment horizontal="right"/>
    </xf>
    <xf numFmtId="2" fontId="9" fillId="5" borderId="1" xfId="13" applyNumberFormat="1" applyFont="1" applyFill="1" applyBorder="1" applyAlignment="1">
      <alignment horizontal="center"/>
    </xf>
    <xf numFmtId="2" fontId="9" fillId="5" borderId="4" xfId="13" applyNumberFormat="1" applyFont="1" applyFill="1" applyBorder="1" applyAlignment="1">
      <alignment horizontal="center"/>
    </xf>
    <xf numFmtId="2" fontId="9" fillId="5" borderId="24" xfId="13" applyNumberFormat="1" applyFont="1" applyFill="1" applyBorder="1" applyAlignment="1">
      <alignment horizontal="center"/>
    </xf>
    <xf numFmtId="0" fontId="9" fillId="4" borderId="0" xfId="13" applyFont="1" applyFill="1" applyBorder="1" applyAlignment="1">
      <alignment horizontal="center"/>
    </xf>
    <xf numFmtId="2" fontId="12" fillId="5" borderId="1" xfId="13" applyNumberFormat="1" applyFont="1" applyFill="1" applyBorder="1" applyAlignment="1">
      <alignment horizontal="center"/>
    </xf>
    <xf numFmtId="2" fontId="12" fillId="5" borderId="4" xfId="13" applyNumberFormat="1" applyFont="1" applyFill="1" applyBorder="1" applyAlignment="1">
      <alignment horizontal="center"/>
    </xf>
    <xf numFmtId="2" fontId="12" fillId="5" borderId="24" xfId="13" applyNumberFormat="1" applyFont="1" applyFill="1" applyBorder="1" applyAlignment="1">
      <alignment horizontal="center"/>
    </xf>
    <xf numFmtId="2" fontId="12" fillId="0" borderId="0" xfId="13" applyNumberFormat="1" applyFont="1" applyFill="1" applyBorder="1" applyAlignment="1">
      <alignment horizontal="center"/>
    </xf>
    <xf numFmtId="0" fontId="11" fillId="5" borderId="15" xfId="13" applyFont="1" applyFill="1" applyBorder="1" applyAlignment="1">
      <alignment horizontal="right"/>
    </xf>
    <xf numFmtId="2" fontId="9" fillId="5" borderId="33" xfId="13" applyNumberFormat="1" applyFont="1" applyFill="1" applyBorder="1" applyAlignment="1">
      <alignment horizontal="center"/>
    </xf>
    <xf numFmtId="2" fontId="9" fillId="5" borderId="26" xfId="13" applyNumberFormat="1" applyFont="1" applyFill="1" applyBorder="1" applyAlignment="1">
      <alignment horizontal="center"/>
    </xf>
    <xf numFmtId="0" fontId="9" fillId="5" borderId="12" xfId="13" applyFont="1" applyFill="1" applyBorder="1" applyAlignment="1">
      <alignment horizontal="right"/>
    </xf>
    <xf numFmtId="2" fontId="14" fillId="5" borderId="13" xfId="13" applyNumberFormat="1" applyFont="1" applyFill="1" applyBorder="1" applyAlignment="1">
      <alignment horizontal="right"/>
    </xf>
    <xf numFmtId="0" fontId="9" fillId="5" borderId="15" xfId="13" applyFont="1" applyFill="1" applyBorder="1" applyAlignment="1">
      <alignment horizontal="right"/>
    </xf>
    <xf numFmtId="2" fontId="14" fillId="5" borderId="16" xfId="13" applyNumberFormat="1" applyFont="1" applyFill="1" applyBorder="1" applyAlignment="1">
      <alignment horizontal="right"/>
    </xf>
    <xf numFmtId="0" fontId="9" fillId="0" borderId="0" xfId="13" applyFont="1" applyFill="1"/>
    <xf numFmtId="0" fontId="15" fillId="5" borderId="39" xfId="13" applyFont="1" applyFill="1" applyBorder="1"/>
    <xf numFmtId="0" fontId="15" fillId="5" borderId="40" xfId="13" applyFont="1" applyFill="1" applyBorder="1"/>
    <xf numFmtId="0" fontId="9" fillId="0" borderId="0" xfId="13" applyFont="1" applyAlignment="1">
      <alignment horizontal="right"/>
    </xf>
    <xf numFmtId="0" fontId="9" fillId="5" borderId="29" xfId="13" applyFont="1" applyFill="1" applyBorder="1"/>
    <xf numFmtId="1" fontId="12" fillId="5" borderId="30" xfId="13" applyNumberFormat="1" applyFont="1" applyFill="1" applyBorder="1" applyAlignment="1">
      <alignment horizontal="center"/>
    </xf>
    <xf numFmtId="0" fontId="9" fillId="5" borderId="42" xfId="13" applyFont="1" applyFill="1" applyBorder="1"/>
    <xf numFmtId="0" fontId="9" fillId="5" borderId="6" xfId="13" applyFont="1" applyFill="1" applyBorder="1"/>
    <xf numFmtId="0" fontId="9" fillId="5" borderId="8" xfId="13" applyFont="1" applyFill="1" applyBorder="1"/>
    <xf numFmtId="0" fontId="12" fillId="5" borderId="14" xfId="13" applyFont="1" applyFill="1" applyBorder="1" applyAlignment="1">
      <alignment horizontal="center"/>
    </xf>
    <xf numFmtId="0" fontId="9" fillId="5" borderId="44" xfId="13" applyFont="1" applyFill="1" applyBorder="1"/>
    <xf numFmtId="1" fontId="12" fillId="5" borderId="14" xfId="13" applyNumberFormat="1" applyFont="1" applyFill="1" applyBorder="1" applyAlignment="1">
      <alignment horizontal="center"/>
    </xf>
    <xf numFmtId="0" fontId="9" fillId="5" borderId="3" xfId="13" applyFont="1" applyFill="1" applyBorder="1"/>
    <xf numFmtId="0" fontId="9" fillId="5" borderId="34" xfId="13" applyFont="1" applyFill="1" applyBorder="1"/>
    <xf numFmtId="0" fontId="12" fillId="5" borderId="14" xfId="13" applyFont="1" applyFill="1" applyBorder="1" applyAlignment="1">
      <alignment horizontal="center" vertical="center"/>
    </xf>
    <xf numFmtId="0" fontId="9" fillId="0" borderId="0" xfId="13" applyFont="1" applyFill="1" applyBorder="1" applyAlignment="1">
      <alignment horizontal="center"/>
    </xf>
    <xf numFmtId="0" fontId="9" fillId="5" borderId="36" xfId="13" applyFont="1" applyFill="1" applyBorder="1"/>
    <xf numFmtId="0" fontId="12" fillId="5" borderId="37" xfId="13" applyFont="1" applyFill="1" applyBorder="1" applyAlignment="1">
      <alignment horizontal="center" vertical="center"/>
    </xf>
    <xf numFmtId="0" fontId="9" fillId="5" borderId="15" xfId="13" applyFont="1" applyFill="1" applyBorder="1"/>
    <xf numFmtId="0" fontId="12" fillId="5" borderId="16" xfId="13" applyFont="1" applyFill="1" applyBorder="1" applyAlignment="1">
      <alignment horizontal="center" vertical="center"/>
    </xf>
    <xf numFmtId="0" fontId="9" fillId="5" borderId="29" xfId="13" applyFont="1" applyFill="1" applyBorder="1" applyAlignment="1">
      <alignment horizontal="right"/>
    </xf>
    <xf numFmtId="0" fontId="9" fillId="5" borderId="31" xfId="13" applyFont="1" applyFill="1" applyBorder="1" applyAlignment="1">
      <alignment horizontal="center"/>
    </xf>
    <xf numFmtId="0" fontId="9" fillId="5" borderId="32" xfId="13" applyFont="1" applyFill="1" applyBorder="1" applyAlignment="1">
      <alignment horizontal="center"/>
    </xf>
    <xf numFmtId="0" fontId="9" fillId="5" borderId="25" xfId="13" applyFont="1" applyFill="1" applyBorder="1" applyAlignment="1">
      <alignment horizontal="center"/>
    </xf>
    <xf numFmtId="0" fontId="9" fillId="5" borderId="33" xfId="13" applyFont="1" applyFill="1" applyBorder="1" applyAlignment="1">
      <alignment horizontal="center"/>
    </xf>
    <xf numFmtId="0" fontId="10" fillId="0" borderId="0" xfId="2" applyFont="1" applyFill="1" applyAlignment="1">
      <alignment horizontal="left"/>
    </xf>
    <xf numFmtId="0" fontId="40" fillId="0" borderId="8" xfId="11" applyBorder="1" applyAlignment="1" applyProtection="1"/>
    <xf numFmtId="0" fontId="9" fillId="0" borderId="0" xfId="13" applyFont="1" applyAlignment="1">
      <alignment horizontal="left"/>
    </xf>
    <xf numFmtId="2" fontId="12" fillId="5" borderId="49" xfId="7" applyNumberFormat="1" applyFont="1" applyFill="1" applyBorder="1" applyAlignment="1">
      <alignment horizontal="center"/>
    </xf>
    <xf numFmtId="2" fontId="12" fillId="5" borderId="50" xfId="7" applyNumberFormat="1" applyFont="1" applyFill="1" applyBorder="1" applyAlignment="1">
      <alignment horizontal="center"/>
    </xf>
    <xf numFmtId="2" fontId="12" fillId="5" borderId="47" xfId="7" applyNumberFormat="1" applyFont="1" applyFill="1" applyBorder="1" applyAlignment="1">
      <alignment horizontal="center"/>
    </xf>
    <xf numFmtId="0" fontId="11" fillId="5" borderId="48" xfId="13" applyFont="1" applyFill="1" applyBorder="1" applyAlignment="1">
      <alignment horizontal="right"/>
    </xf>
    <xf numFmtId="0" fontId="9" fillId="6" borderId="1" xfId="2" applyFont="1" applyFill="1" applyBorder="1" applyAlignment="1">
      <alignment horizontal="left"/>
    </xf>
    <xf numFmtId="9" fontId="9" fillId="0" borderId="4" xfId="13" applyNumberFormat="1" applyFont="1" applyFill="1" applyBorder="1" applyAlignment="1">
      <alignment horizontal="center"/>
    </xf>
    <xf numFmtId="164" fontId="26" fillId="0" borderId="0" xfId="2" applyNumberFormat="1" applyFont="1" applyFill="1" applyBorder="1"/>
    <xf numFmtId="0" fontId="10" fillId="0" borderId="0" xfId="13" applyFont="1" applyFill="1"/>
    <xf numFmtId="165" fontId="9" fillId="0" borderId="6" xfId="2" applyNumberFormat="1" applyFont="1" applyFill="1" applyBorder="1" applyAlignment="1">
      <alignment horizontal="center" vertical="center"/>
    </xf>
    <xf numFmtId="0" fontId="10" fillId="4" borderId="0" xfId="13" applyFont="1" applyFill="1" applyAlignment="1">
      <alignment horizontal="right"/>
    </xf>
    <xf numFmtId="164" fontId="10" fillId="0" borderId="0" xfId="13" applyNumberFormat="1" applyFont="1" applyFill="1"/>
    <xf numFmtId="9" fontId="10" fillId="0" borderId="0" xfId="13" applyNumberFormat="1" applyFont="1" applyFill="1"/>
    <xf numFmtId="0" fontId="12" fillId="0" borderId="4" xfId="13" applyFont="1" applyBorder="1"/>
    <xf numFmtId="0" fontId="12" fillId="0" borderId="11" xfId="13" applyFont="1" applyFill="1" applyBorder="1"/>
    <xf numFmtId="9" fontId="9" fillId="0" borderId="5" xfId="6" applyFont="1" applyFill="1" applyBorder="1" applyAlignment="1">
      <alignment horizontal="center"/>
    </xf>
    <xf numFmtId="9" fontId="9" fillId="0" borderId="18" xfId="6" applyFont="1" applyFill="1" applyBorder="1" applyAlignment="1">
      <alignment horizontal="center"/>
    </xf>
    <xf numFmtId="1" fontId="9" fillId="0" borderId="7" xfId="9" applyNumberFormat="1" applyFont="1" applyFill="1" applyBorder="1" applyAlignment="1">
      <alignment horizontal="center"/>
    </xf>
    <xf numFmtId="9" fontId="9" fillId="0" borderId="6" xfId="6" applyFont="1" applyFill="1" applyBorder="1" applyAlignment="1">
      <alignment horizontal="center"/>
    </xf>
    <xf numFmtId="165" fontId="9" fillId="0" borderId="18" xfId="15" applyNumberFormat="1" applyFont="1" applyFill="1" applyBorder="1" applyAlignment="1">
      <alignment horizontal="center"/>
    </xf>
    <xf numFmtId="165" fontId="9" fillId="0" borderId="19" xfId="2" applyNumberFormat="1" applyFont="1" applyFill="1" applyBorder="1" applyAlignment="1">
      <alignment horizontal="center" vertical="center"/>
    </xf>
    <xf numFmtId="9" fontId="9" fillId="0" borderId="6" xfId="13" applyNumberFormat="1" applyFont="1" applyFill="1" applyBorder="1" applyAlignment="1">
      <alignment horizontal="center"/>
    </xf>
    <xf numFmtId="9" fontId="9" fillId="0" borderId="5" xfId="13" applyNumberFormat="1" applyFont="1" applyFill="1" applyBorder="1" applyAlignment="1">
      <alignment horizontal="center"/>
    </xf>
    <xf numFmtId="9" fontId="9" fillId="0" borderId="18" xfId="13" applyNumberFormat="1" applyFont="1" applyFill="1" applyBorder="1" applyAlignment="1">
      <alignment horizontal="center"/>
    </xf>
    <xf numFmtId="1" fontId="9" fillId="0" borderId="7" xfId="15" applyNumberFormat="1" applyFont="1" applyFill="1" applyBorder="1" applyAlignment="1">
      <alignment horizontal="center"/>
    </xf>
    <xf numFmtId="2" fontId="9" fillId="0" borderId="4" xfId="13" applyNumberFormat="1" applyFont="1" applyFill="1" applyBorder="1" applyAlignment="1">
      <alignment horizontal="center"/>
    </xf>
    <xf numFmtId="9" fontId="9" fillId="0" borderId="1" xfId="6" applyFont="1" applyFill="1" applyBorder="1" applyAlignment="1">
      <alignment horizontal="center"/>
    </xf>
    <xf numFmtId="0" fontId="20" fillId="0" borderId="0" xfId="0" applyFont="1" applyAlignment="1">
      <alignment horizontal="center" wrapText="1"/>
    </xf>
    <xf numFmtId="0" fontId="17" fillId="0" borderId="0" xfId="0" applyFont="1" applyAlignment="1">
      <alignment wrapText="1"/>
    </xf>
    <xf numFmtId="0" fontId="17" fillId="0" borderId="1" xfId="8" applyFont="1" applyBorder="1" applyAlignment="1">
      <alignment vertical="center" wrapText="1"/>
    </xf>
    <xf numFmtId="0" fontId="17" fillId="0" borderId="0" xfId="0" applyFont="1" applyAlignment="1">
      <alignment vertical="center"/>
    </xf>
    <xf numFmtId="0" fontId="17" fillId="0" borderId="1" xfId="0" applyFont="1" applyBorder="1" applyAlignment="1">
      <alignment vertical="center" wrapText="1"/>
    </xf>
    <xf numFmtId="15" fontId="17" fillId="0" borderId="1" xfId="0" applyNumberFormat="1" applyFont="1" applyBorder="1" applyAlignment="1">
      <alignment horizontal="center" vertical="center"/>
    </xf>
    <xf numFmtId="0" fontId="17" fillId="0" borderId="1" xfId="0" applyFont="1" applyFill="1" applyBorder="1" applyAlignment="1">
      <alignment vertical="center" wrapText="1"/>
    </xf>
    <xf numFmtId="0" fontId="17" fillId="0" borderId="1" xfId="0" applyFont="1" applyBorder="1" applyAlignment="1">
      <alignment vertical="center"/>
    </xf>
    <xf numFmtId="15" fontId="17" fillId="0" borderId="1" xfId="8" applyNumberFormat="1" applyFont="1" applyBorder="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25" fillId="5" borderId="29" xfId="14" applyFont="1" applyFill="1" applyBorder="1" applyAlignment="1"/>
    <xf numFmtId="0" fontId="11" fillId="0" borderId="8" xfId="13" applyFont="1" applyFill="1" applyBorder="1"/>
    <xf numFmtId="0" fontId="9" fillId="0" borderId="51" xfId="13" applyFont="1" applyBorder="1"/>
    <xf numFmtId="0" fontId="9" fillId="0" borderId="8" xfId="0" applyFont="1" applyFill="1" applyBorder="1"/>
    <xf numFmtId="2" fontId="9" fillId="11" borderId="1" xfId="13" applyNumberFormat="1" applyFont="1" applyFill="1" applyBorder="1" applyAlignment="1">
      <alignment horizontal="center"/>
    </xf>
    <xf numFmtId="2" fontId="9" fillId="7" borderId="1" xfId="13" applyNumberFormat="1" applyFont="1" applyFill="1" applyBorder="1" applyAlignment="1">
      <alignment horizontal="center"/>
    </xf>
    <xf numFmtId="2" fontId="9" fillId="12" borderId="1" xfId="13" applyNumberFormat="1" applyFont="1" applyFill="1" applyBorder="1" applyAlignment="1">
      <alignment horizontal="center"/>
    </xf>
    <xf numFmtId="2" fontId="9" fillId="12" borderId="14" xfId="13" applyNumberFormat="1" applyFont="1" applyFill="1" applyBorder="1" applyAlignment="1">
      <alignment horizontal="center"/>
    </xf>
    <xf numFmtId="0" fontId="9" fillId="0" borderId="51" xfId="13" applyFont="1" applyFill="1" applyBorder="1"/>
    <xf numFmtId="2" fontId="9" fillId="11" borderId="4" xfId="13" applyNumberFormat="1" applyFont="1" applyFill="1" applyBorder="1" applyAlignment="1">
      <alignment horizontal="center"/>
    </xf>
    <xf numFmtId="2" fontId="9" fillId="12" borderId="43" xfId="13" applyNumberFormat="1" applyFont="1" applyFill="1" applyBorder="1" applyAlignment="1">
      <alignment horizontal="center"/>
    </xf>
    <xf numFmtId="2" fontId="9" fillId="11" borderId="25" xfId="13" applyNumberFormat="1" applyFont="1" applyFill="1" applyBorder="1" applyAlignment="1">
      <alignment horizontal="center"/>
    </xf>
    <xf numFmtId="2" fontId="9" fillId="7" borderId="25" xfId="13" applyNumberFormat="1" applyFont="1" applyFill="1" applyBorder="1" applyAlignment="1">
      <alignment horizontal="center"/>
    </xf>
    <xf numFmtId="2" fontId="9" fillId="12" borderId="25" xfId="13" applyNumberFormat="1" applyFont="1" applyFill="1" applyBorder="1" applyAlignment="1">
      <alignment horizontal="center"/>
    </xf>
    <xf numFmtId="0" fontId="17" fillId="0" borderId="6" xfId="0" applyFont="1" applyBorder="1"/>
    <xf numFmtId="0" fontId="27" fillId="0" borderId="0" xfId="11" applyFont="1" applyFill="1" applyAlignment="1" applyProtection="1"/>
    <xf numFmtId="0" fontId="21" fillId="0" borderId="0" xfId="0" applyFont="1" applyFill="1" applyBorder="1" applyAlignment="1">
      <alignment vertical="center"/>
    </xf>
    <xf numFmtId="0" fontId="32" fillId="0" borderId="0" xfId="14" applyFont="1"/>
    <xf numFmtId="0" fontId="32" fillId="0" borderId="0" xfId="14" applyFont="1" applyAlignment="1">
      <alignment horizontal="right"/>
    </xf>
    <xf numFmtId="0" fontId="21" fillId="0" borderId="0" xfId="14" applyFont="1" applyAlignment="1">
      <alignment horizontal="right"/>
    </xf>
    <xf numFmtId="169" fontId="21" fillId="0" borderId="0" xfId="13" applyNumberFormat="1" applyFont="1" applyFill="1" applyBorder="1" applyAlignment="1" applyProtection="1">
      <protection locked="0"/>
    </xf>
    <xf numFmtId="0" fontId="32" fillId="4" borderId="0" xfId="14" applyFont="1" applyFill="1"/>
    <xf numFmtId="0" fontId="31" fillId="0" borderId="0" xfId="14" applyFont="1"/>
    <xf numFmtId="0" fontId="31" fillId="4" borderId="0" xfId="14" applyFont="1" applyFill="1"/>
    <xf numFmtId="0" fontId="29" fillId="4" borderId="0" xfId="14" applyFont="1" applyFill="1"/>
    <xf numFmtId="0" fontId="28" fillId="4" borderId="0" xfId="14" applyFont="1" applyFill="1" applyBorder="1" applyAlignment="1">
      <alignment horizontal="center" vertical="center" wrapText="1"/>
    </xf>
    <xf numFmtId="0" fontId="34" fillId="0" borderId="0" xfId="11" applyFont="1" applyAlignment="1" applyProtection="1"/>
    <xf numFmtId="0" fontId="31" fillId="0" borderId="0" xfId="14" applyFont="1" applyFill="1" applyBorder="1"/>
    <xf numFmtId="0" fontId="31" fillId="4" borderId="0" xfId="14" applyFont="1" applyFill="1" applyBorder="1"/>
    <xf numFmtId="0" fontId="31" fillId="0" borderId="0" xfId="14" applyFont="1" applyBorder="1"/>
    <xf numFmtId="0" fontId="10" fillId="0" borderId="0" xfId="14" applyFont="1" applyBorder="1"/>
    <xf numFmtId="0" fontId="10" fillId="4" borderId="0" xfId="14" applyFont="1" applyFill="1" applyBorder="1"/>
    <xf numFmtId="0" fontId="30" fillId="0" borderId="0" xfId="14" applyFont="1" applyBorder="1" applyAlignment="1">
      <alignment horizontal="left" wrapText="1" indent="1"/>
    </xf>
    <xf numFmtId="0" fontId="10" fillId="0" borderId="0" xfId="14" applyFont="1" applyBorder="1" applyAlignment="1">
      <alignment horizontal="left" wrapText="1" indent="1"/>
    </xf>
    <xf numFmtId="0" fontId="30" fillId="0" borderId="0" xfId="14" applyFont="1" applyBorder="1" applyAlignment="1">
      <alignment horizontal="left" indent="1"/>
    </xf>
    <xf numFmtId="0" fontId="10" fillId="0" borderId="0" xfId="14" applyFont="1" applyFill="1" applyBorder="1"/>
    <xf numFmtId="0" fontId="31" fillId="0" borderId="0" xfId="14" applyFont="1" applyFill="1" applyBorder="1" applyAlignment="1">
      <alignment horizontal="right"/>
    </xf>
    <xf numFmtId="0" fontId="10" fillId="0" borderId="0" xfId="14" applyFont="1"/>
    <xf numFmtId="0" fontId="29" fillId="0" borderId="0" xfId="14" applyFont="1" applyBorder="1" applyAlignment="1">
      <alignment vertical="center" wrapText="1"/>
    </xf>
    <xf numFmtId="0" fontId="10" fillId="0" borderId="0" xfId="14" applyFont="1" applyFill="1" applyBorder="1" applyAlignment="1">
      <alignment horizontal="left"/>
    </xf>
    <xf numFmtId="0" fontId="10" fillId="4" borderId="0" xfId="14" applyFont="1" applyFill="1"/>
    <xf numFmtId="0" fontId="29" fillId="4" borderId="0" xfId="14" applyFont="1" applyFill="1" applyBorder="1" applyAlignment="1">
      <alignment vertical="center" wrapText="1"/>
    </xf>
    <xf numFmtId="0" fontId="31" fillId="0" borderId="59" xfId="14" applyFont="1" applyBorder="1" applyAlignment="1"/>
    <xf numFmtId="0" fontId="29" fillId="4" borderId="59" xfId="14" applyFont="1" applyFill="1" applyBorder="1" applyAlignment="1">
      <alignment horizontal="center"/>
    </xf>
    <xf numFmtId="0" fontId="31" fillId="0" borderId="24" xfId="14" applyFont="1" applyBorder="1" applyAlignment="1">
      <alignment horizontal="left" wrapText="1"/>
    </xf>
    <xf numFmtId="0" fontId="29" fillId="4" borderId="24" xfId="14" applyFont="1" applyFill="1" applyBorder="1" applyAlignment="1">
      <alignment horizontal="center"/>
    </xf>
    <xf numFmtId="0" fontId="10" fillId="0" borderId="24" xfId="14" applyFont="1" applyFill="1" applyBorder="1" applyAlignment="1">
      <alignment horizontal="left"/>
    </xf>
    <xf numFmtId="0" fontId="31" fillId="4" borderId="24" xfId="14" applyFont="1" applyFill="1" applyBorder="1" applyAlignment="1">
      <alignment horizontal="center"/>
    </xf>
    <xf numFmtId="0" fontId="10" fillId="0" borderId="24" xfId="14" applyFont="1" applyBorder="1" applyAlignment="1">
      <alignment horizontal="left"/>
    </xf>
    <xf numFmtId="0" fontId="31" fillId="0" borderId="26" xfId="14" applyFont="1" applyBorder="1" applyAlignment="1">
      <alignment horizontal="left" wrapText="1"/>
    </xf>
    <xf numFmtId="0" fontId="31" fillId="4" borderId="26" xfId="14" applyFont="1" applyFill="1" applyBorder="1" applyAlignment="1">
      <alignment horizontal="center"/>
    </xf>
    <xf numFmtId="0" fontId="31" fillId="0" borderId="0" xfId="14" applyFont="1" applyBorder="1" applyAlignment="1">
      <alignment horizontal="center" vertical="center" wrapText="1"/>
    </xf>
    <xf numFmtId="0" fontId="31" fillId="4" borderId="0" xfId="14" applyFont="1" applyFill="1" applyBorder="1" applyAlignment="1">
      <alignment horizontal="center" vertical="center" wrapText="1"/>
    </xf>
    <xf numFmtId="0" fontId="31" fillId="0" borderId="0" xfId="14" applyFont="1" applyBorder="1" applyAlignment="1">
      <alignment horizontal="center" wrapText="1"/>
    </xf>
    <xf numFmtId="0" fontId="29" fillId="4" borderId="0" xfId="14" applyFont="1" applyFill="1" applyBorder="1" applyAlignment="1">
      <alignment horizontal="center"/>
    </xf>
    <xf numFmtId="0" fontId="24" fillId="0" borderId="0" xfId="14" applyFont="1" applyBorder="1" applyAlignment="1">
      <alignment vertical="top" wrapText="1"/>
    </xf>
    <xf numFmtId="0" fontId="24" fillId="0" borderId="0" xfId="14" applyFont="1" applyBorder="1" applyAlignment="1">
      <alignment wrapText="1"/>
    </xf>
    <xf numFmtId="0" fontId="22" fillId="0" borderId="0" xfId="14" applyFont="1" applyBorder="1" applyAlignment="1">
      <alignment vertical="top" wrapText="1"/>
    </xf>
    <xf numFmtId="0" fontId="35" fillId="0" borderId="0" xfId="17" applyFont="1" applyBorder="1" applyAlignment="1" applyProtection="1">
      <alignment vertical="top"/>
    </xf>
    <xf numFmtId="0" fontId="22" fillId="4" borderId="47" xfId="14" applyFont="1" applyFill="1" applyBorder="1" applyAlignment="1">
      <alignment horizontal="center"/>
    </xf>
    <xf numFmtId="0" fontId="22" fillId="4" borderId="47" xfId="14" applyFont="1" applyFill="1" applyBorder="1" applyAlignment="1">
      <alignment horizontal="center" wrapText="1"/>
    </xf>
    <xf numFmtId="0" fontId="22" fillId="4" borderId="53" xfId="14" applyFont="1" applyFill="1" applyBorder="1" applyAlignment="1">
      <alignment horizontal="center"/>
    </xf>
    <xf numFmtId="0" fontId="29" fillId="0" borderId="53" xfId="14" applyFont="1" applyBorder="1" applyAlignment="1">
      <alignment vertical="center" wrapText="1"/>
    </xf>
    <xf numFmtId="0" fontId="29" fillId="0" borderId="54" xfId="14" applyFont="1" applyBorder="1" applyAlignment="1">
      <alignment vertical="center" wrapText="1"/>
    </xf>
    <xf numFmtId="0" fontId="29" fillId="0" borderId="60" xfId="14" applyFont="1" applyBorder="1" applyAlignment="1">
      <alignment vertical="center" wrapText="1"/>
    </xf>
    <xf numFmtId="0" fontId="17" fillId="0" borderId="35" xfId="14" applyFont="1" applyFill="1" applyBorder="1" applyAlignment="1"/>
    <xf numFmtId="0" fontId="17" fillId="0" borderId="24" xfId="14" applyFont="1" applyFill="1" applyBorder="1" applyAlignment="1"/>
    <xf numFmtId="0" fontId="17" fillId="4" borderId="24" xfId="14" applyFont="1" applyFill="1" applyBorder="1" applyAlignment="1"/>
    <xf numFmtId="0" fontId="17" fillId="4" borderId="56" xfId="14" applyFont="1" applyFill="1" applyBorder="1" applyAlignment="1"/>
    <xf numFmtId="0" fontId="17" fillId="4" borderId="35" xfId="14" applyFont="1" applyFill="1" applyBorder="1" applyAlignment="1">
      <alignment horizontal="left" wrapText="1"/>
    </xf>
    <xf numFmtId="0" fontId="17" fillId="4" borderId="35" xfId="14" applyFont="1" applyFill="1" applyBorder="1" applyAlignment="1">
      <alignment horizontal="left"/>
    </xf>
    <xf numFmtId="0" fontId="17" fillId="4" borderId="24" xfId="14" applyFont="1" applyFill="1" applyBorder="1" applyAlignment="1">
      <alignment horizontal="left"/>
    </xf>
    <xf numFmtId="0" fontId="17" fillId="4" borderId="59" xfId="14" applyFont="1" applyFill="1" applyBorder="1"/>
    <xf numFmtId="0" fontId="17" fillId="4" borderId="24" xfId="14" applyFont="1" applyFill="1" applyBorder="1"/>
    <xf numFmtId="0" fontId="17" fillId="4" borderId="26" xfId="14" applyFont="1" applyFill="1" applyBorder="1"/>
    <xf numFmtId="0" fontId="17" fillId="4" borderId="59" xfId="14" applyFont="1" applyFill="1" applyBorder="1" applyAlignment="1">
      <alignment horizontal="left" wrapText="1"/>
    </xf>
    <xf numFmtId="0" fontId="17" fillId="4" borderId="60" xfId="14" applyFont="1" applyFill="1" applyBorder="1" applyAlignment="1">
      <alignment horizontal="left" wrapText="1"/>
    </xf>
    <xf numFmtId="0" fontId="17" fillId="4" borderId="59" xfId="14" applyFont="1" applyFill="1" applyBorder="1" applyAlignment="1">
      <alignment horizontal="left"/>
    </xf>
    <xf numFmtId="0" fontId="17" fillId="4" borderId="60" xfId="14" applyFont="1" applyFill="1" applyBorder="1" applyAlignment="1">
      <alignment horizontal="left"/>
    </xf>
    <xf numFmtId="0" fontId="17" fillId="4" borderId="26" xfId="14" applyFont="1" applyFill="1" applyBorder="1" applyAlignment="1">
      <alignment horizontal="left"/>
    </xf>
    <xf numFmtId="0" fontId="17" fillId="0" borderId="47" xfId="14" applyFont="1" applyBorder="1" applyAlignment="1">
      <alignment vertical="center" wrapText="1"/>
    </xf>
    <xf numFmtId="0" fontId="29" fillId="0" borderId="0" xfId="14" applyFont="1"/>
    <xf numFmtId="15" fontId="17" fillId="0" borderId="14" xfId="0" applyNumberFormat="1" applyFont="1" applyBorder="1"/>
    <xf numFmtId="0" fontId="10" fillId="0" borderId="1" xfId="14" applyFont="1" applyFill="1" applyBorder="1"/>
    <xf numFmtId="0" fontId="10" fillId="0" borderId="0" xfId="14" applyFont="1" applyFill="1"/>
    <xf numFmtId="0" fontId="9" fillId="4" borderId="1" xfId="7" applyFont="1" applyFill="1" applyBorder="1" applyAlignment="1">
      <alignment horizontal="center" textRotation="90" wrapText="1"/>
    </xf>
    <xf numFmtId="0" fontId="9" fillId="0" borderId="1" xfId="7" applyFont="1" applyBorder="1" applyAlignment="1">
      <alignment horizontal="center"/>
    </xf>
    <xf numFmtId="168" fontId="9" fillId="0" borderId="5" xfId="2" applyNumberFormat="1" applyFont="1" applyFill="1" applyBorder="1" applyAlignment="1">
      <alignment horizontal="center" vertical="center"/>
    </xf>
    <xf numFmtId="1" fontId="9" fillId="0" borderId="1" xfId="9" applyNumberFormat="1" applyFont="1" applyFill="1" applyBorder="1" applyAlignment="1">
      <alignment horizontal="center"/>
    </xf>
    <xf numFmtId="165" fontId="9" fillId="0" borderId="10" xfId="2" applyNumberFormat="1" applyFont="1" applyFill="1" applyBorder="1" applyAlignment="1">
      <alignment horizontal="center" vertical="center"/>
    </xf>
    <xf numFmtId="165" fontId="9" fillId="0" borderId="10" xfId="1" applyNumberFormat="1" applyFont="1" applyFill="1" applyBorder="1"/>
    <xf numFmtId="164" fontId="9" fillId="0" borderId="1" xfId="2" applyNumberFormat="1" applyFont="1" applyFill="1" applyBorder="1" applyAlignment="1">
      <alignment horizontal="center"/>
    </xf>
    <xf numFmtId="164" fontId="10" fillId="0" borderId="1" xfId="2" applyNumberFormat="1" applyFont="1" applyFill="1" applyBorder="1"/>
    <xf numFmtId="2" fontId="10" fillId="0" borderId="0" xfId="0" applyNumberFormat="1" applyFont="1" applyFill="1" applyAlignment="1">
      <alignment horizontal="right"/>
    </xf>
    <xf numFmtId="164" fontId="10" fillId="0" borderId="3" xfId="2" applyNumberFormat="1" applyFont="1" applyFill="1" applyBorder="1"/>
    <xf numFmtId="164" fontId="10" fillId="0" borderId="0" xfId="2" applyNumberFormat="1" applyFont="1" applyFill="1" applyBorder="1" applyAlignment="1">
      <alignment horizontal="center" vertical="center"/>
    </xf>
    <xf numFmtId="168" fontId="10" fillId="0" borderId="0" xfId="14" applyNumberFormat="1" applyFont="1" applyFill="1" applyAlignment="1">
      <alignment horizontal="center"/>
    </xf>
    <xf numFmtId="0" fontId="17" fillId="0" borderId="23" xfId="14" applyFont="1" applyBorder="1" applyAlignment="1">
      <alignment vertical="center" wrapText="1"/>
    </xf>
    <xf numFmtId="0" fontId="22" fillId="4" borderId="28" xfId="14" applyFont="1" applyFill="1" applyBorder="1" applyAlignment="1">
      <alignment horizontal="center"/>
    </xf>
    <xf numFmtId="0" fontId="29" fillId="4" borderId="41" xfId="14" applyFont="1" applyFill="1" applyBorder="1" applyAlignment="1">
      <alignment horizontal="center"/>
    </xf>
    <xf numFmtId="0" fontId="29" fillId="4" borderId="43" xfId="14" applyFont="1" applyFill="1" applyBorder="1" applyAlignment="1">
      <alignment horizontal="center"/>
    </xf>
    <xf numFmtId="0" fontId="31" fillId="4" borderId="43" xfId="14" applyFont="1" applyFill="1" applyBorder="1" applyAlignment="1">
      <alignment horizontal="center"/>
    </xf>
    <xf numFmtId="0" fontId="31" fillId="4" borderId="45" xfId="14" applyFont="1" applyFill="1" applyBorder="1" applyAlignment="1">
      <alignment horizontal="center"/>
    </xf>
    <xf numFmtId="0" fontId="31" fillId="0" borderId="55" xfId="14" applyFont="1" applyBorder="1"/>
    <xf numFmtId="0" fontId="31" fillId="0" borderId="57" xfId="14" applyFont="1" applyBorder="1"/>
    <xf numFmtId="0" fontId="31" fillId="0" borderId="54" xfId="14" applyFont="1" applyBorder="1" applyAlignment="1">
      <alignment horizontal="center" vertical="center" wrapText="1"/>
    </xf>
    <xf numFmtId="0" fontId="31" fillId="0" borderId="54" xfId="14" applyFont="1" applyBorder="1"/>
    <xf numFmtId="0" fontId="22" fillId="0" borderId="54" xfId="14" applyFont="1" applyBorder="1" applyAlignment="1">
      <alignment vertical="top" wrapText="1"/>
    </xf>
    <xf numFmtId="0" fontId="31" fillId="0" borderId="60" xfId="14" applyFont="1" applyBorder="1"/>
    <xf numFmtId="0" fontId="31" fillId="4" borderId="54" xfId="14" applyFont="1" applyFill="1" applyBorder="1" applyAlignment="1">
      <alignment horizontal="center" vertical="center" wrapText="1"/>
    </xf>
    <xf numFmtId="0" fontId="35" fillId="0" borderId="54" xfId="17" applyFont="1" applyBorder="1" applyAlignment="1" applyProtection="1">
      <alignment vertical="top"/>
    </xf>
    <xf numFmtId="0" fontId="20" fillId="0" borderId="47" xfId="14" applyFont="1" applyFill="1" applyBorder="1" applyAlignment="1">
      <alignment horizontal="center" vertical="center" wrapText="1"/>
    </xf>
    <xf numFmtId="0" fontId="29" fillId="4" borderId="59" xfId="14" applyFont="1" applyFill="1" applyBorder="1" applyAlignment="1">
      <alignment horizontal="center" vertical="center" wrapText="1"/>
    </xf>
    <xf numFmtId="0" fontId="31" fillId="0" borderId="24" xfId="14" applyFont="1" applyBorder="1"/>
    <xf numFmtId="0" fontId="31" fillId="0" borderId="26" xfId="14" applyFont="1" applyBorder="1"/>
    <xf numFmtId="169" fontId="36" fillId="0" borderId="0" xfId="11" applyNumberFormat="1" applyFont="1" applyFill="1" applyBorder="1" applyAlignment="1" applyProtection="1">
      <protection locked="0"/>
    </xf>
    <xf numFmtId="9" fontId="9" fillId="0" borderId="19" xfId="6" applyFont="1" applyFill="1" applyBorder="1" applyAlignment="1">
      <alignment horizontal="center"/>
    </xf>
    <xf numFmtId="165" fontId="9" fillId="0" borderId="0" xfId="2" applyNumberFormat="1" applyFont="1" applyFill="1" applyBorder="1" applyAlignment="1">
      <alignment horizontal="center" vertical="center"/>
    </xf>
    <xf numFmtId="165" fontId="9" fillId="0" borderId="0" xfId="1" applyNumberFormat="1" applyFont="1" applyFill="1" applyBorder="1"/>
    <xf numFmtId="0" fontId="9" fillId="5" borderId="32" xfId="7" applyFont="1" applyFill="1" applyBorder="1" applyAlignment="1">
      <alignment horizontal="center"/>
    </xf>
    <xf numFmtId="0" fontId="9" fillId="5" borderId="33" xfId="7" applyFont="1" applyFill="1" applyBorder="1" applyAlignment="1">
      <alignment horizontal="center"/>
    </xf>
    <xf numFmtId="0" fontId="9" fillId="5" borderId="46" xfId="13" applyFont="1" applyFill="1" applyBorder="1"/>
    <xf numFmtId="0" fontId="9" fillId="5" borderId="9" xfId="13" applyFont="1" applyFill="1" applyBorder="1"/>
    <xf numFmtId="0" fontId="9" fillId="13" borderId="1" xfId="2" applyFont="1" applyFill="1" applyBorder="1" applyAlignment="1">
      <alignment horizontal="center"/>
    </xf>
    <xf numFmtId="0" fontId="9" fillId="0" borderId="1" xfId="2" applyFont="1" applyFill="1" applyBorder="1" applyAlignment="1">
      <alignment horizontal="center"/>
    </xf>
    <xf numFmtId="0" fontId="9" fillId="0" borderId="4" xfId="2" applyFont="1" applyFill="1" applyBorder="1" applyAlignment="1">
      <alignment horizontal="center"/>
    </xf>
    <xf numFmtId="0" fontId="13" fillId="0" borderId="1" xfId="7" applyFont="1" applyFill="1" applyBorder="1" applyAlignment="1">
      <alignment horizontal="center"/>
    </xf>
    <xf numFmtId="0" fontId="9" fillId="0" borderId="25" xfId="2" applyFont="1" applyFill="1" applyBorder="1" applyAlignment="1">
      <alignment horizontal="center"/>
    </xf>
    <xf numFmtId="169" fontId="17" fillId="0" borderId="1" xfId="0" applyNumberFormat="1" applyFont="1" applyBorder="1" applyAlignment="1">
      <alignment horizontal="center" vertical="center"/>
    </xf>
    <xf numFmtId="0" fontId="17" fillId="0" borderId="1" xfId="0" applyFont="1" applyBorder="1" applyAlignment="1">
      <alignment wrapText="1"/>
    </xf>
    <xf numFmtId="0" fontId="25" fillId="0" borderId="11" xfId="13" applyFont="1" applyFill="1" applyBorder="1"/>
    <xf numFmtId="164" fontId="39" fillId="0" borderId="0" xfId="11" applyNumberFormat="1" applyFont="1" applyFill="1" applyBorder="1" applyAlignment="1" applyProtection="1"/>
    <xf numFmtId="0" fontId="39" fillId="0" borderId="0" xfId="11" applyFont="1" applyFill="1" applyAlignment="1" applyProtection="1"/>
    <xf numFmtId="0" fontId="9" fillId="0" borderId="8" xfId="2" applyFont="1" applyFill="1" applyBorder="1" applyAlignment="1">
      <alignment horizontal="left"/>
    </xf>
    <xf numFmtId="0" fontId="9" fillId="0" borderId="15" xfId="2" applyFont="1" applyFill="1" applyBorder="1" applyAlignment="1">
      <alignment horizontal="left"/>
    </xf>
    <xf numFmtId="2" fontId="9" fillId="11" borderId="11" xfId="13" applyNumberFormat="1" applyFont="1" applyFill="1" applyBorder="1" applyAlignment="1">
      <alignment horizontal="center"/>
    </xf>
    <xf numFmtId="2" fontId="9" fillId="11" borderId="7" xfId="13" applyNumberFormat="1" applyFont="1" applyFill="1" applyBorder="1" applyAlignment="1">
      <alignment horizontal="center"/>
    </xf>
    <xf numFmtId="2" fontId="9" fillId="7" borderId="7" xfId="13" applyNumberFormat="1" applyFont="1" applyFill="1" applyBorder="1" applyAlignment="1">
      <alignment horizontal="center"/>
    </xf>
    <xf numFmtId="2" fontId="9" fillId="12" borderId="7" xfId="13" applyNumberFormat="1" applyFont="1" applyFill="1" applyBorder="1" applyAlignment="1">
      <alignment horizontal="center"/>
    </xf>
    <xf numFmtId="2" fontId="9" fillId="12" borderId="61" xfId="13" applyNumberFormat="1" applyFont="1" applyFill="1" applyBorder="1" applyAlignment="1">
      <alignment horizontal="center"/>
    </xf>
    <xf numFmtId="2" fontId="9" fillId="12" borderId="16" xfId="13" applyNumberFormat="1" applyFont="1" applyFill="1" applyBorder="1" applyAlignment="1">
      <alignment horizontal="center"/>
    </xf>
    <xf numFmtId="164" fontId="40" fillId="0" borderId="0" xfId="11" applyNumberFormat="1" applyFill="1" applyBorder="1" applyAlignment="1" applyProtection="1"/>
    <xf numFmtId="0" fontId="25" fillId="0" borderId="4" xfId="19" applyFont="1" applyFill="1" applyBorder="1"/>
    <xf numFmtId="0" fontId="10" fillId="0" borderId="4" xfId="14" applyFont="1" applyFill="1" applyBorder="1"/>
    <xf numFmtId="0" fontId="24" fillId="0" borderId="6" xfId="14" applyFont="1" applyFill="1" applyBorder="1" applyAlignment="1">
      <alignment horizontal="center"/>
    </xf>
    <xf numFmtId="0" fontId="24" fillId="0" borderId="6" xfId="14" applyNumberFormat="1" applyFont="1" applyFill="1" applyBorder="1" applyAlignment="1">
      <alignment horizontal="center"/>
    </xf>
    <xf numFmtId="0" fontId="10" fillId="0" borderId="6" xfId="14" applyNumberFormat="1" applyFont="1" applyFill="1" applyBorder="1"/>
    <xf numFmtId="0" fontId="10" fillId="0" borderId="6" xfId="14" applyFont="1" applyFill="1" applyBorder="1"/>
    <xf numFmtId="9" fontId="9" fillId="0" borderId="7" xfId="13" applyNumberFormat="1" applyFont="1" applyBorder="1"/>
    <xf numFmtId="9" fontId="9" fillId="0" borderId="1" xfId="13" applyNumberFormat="1" applyFont="1" applyBorder="1"/>
    <xf numFmtId="0" fontId="31" fillId="0" borderId="4" xfId="13" applyFont="1" applyFill="1" applyBorder="1"/>
    <xf numFmtId="0" fontId="9" fillId="4" borderId="1" xfId="13" applyFont="1" applyFill="1" applyBorder="1" applyAlignment="1">
      <alignment horizontal="center" textRotation="90" wrapText="1"/>
    </xf>
    <xf numFmtId="0" fontId="9" fillId="0" borderId="1" xfId="13" applyFont="1" applyBorder="1" applyAlignment="1">
      <alignment horizontal="center"/>
    </xf>
    <xf numFmtId="9" fontId="9" fillId="0" borderId="1" xfId="13" applyNumberFormat="1" applyFont="1" applyFill="1" applyBorder="1" applyAlignment="1">
      <alignment horizontal="center"/>
    </xf>
    <xf numFmtId="1" fontId="9" fillId="0" borderId="1" xfId="15" applyNumberFormat="1" applyFont="1" applyFill="1" applyBorder="1" applyAlignment="1">
      <alignment horizontal="center"/>
    </xf>
    <xf numFmtId="1" fontId="9" fillId="0" borderId="7" xfId="2" applyNumberFormat="1" applyFont="1" applyFill="1" applyBorder="1"/>
    <xf numFmtId="0" fontId="12" fillId="0" borderId="25" xfId="2" applyFont="1" applyFill="1" applyBorder="1" applyAlignment="1">
      <alignment horizontal="left"/>
    </xf>
    <xf numFmtId="0" fontId="9" fillId="0" borderId="38" xfId="2" applyFont="1" applyFill="1" applyBorder="1"/>
    <xf numFmtId="2" fontId="9" fillId="0" borderId="5" xfId="6" applyNumberFormat="1" applyFont="1" applyFill="1" applyBorder="1" applyAlignment="1">
      <alignment horizontal="center"/>
    </xf>
    <xf numFmtId="2" fontId="9" fillId="0" borderId="4" xfId="2" applyNumberFormat="1" applyFont="1" applyFill="1" applyBorder="1" applyAlignment="1">
      <alignment horizontal="right"/>
    </xf>
    <xf numFmtId="2" fontId="9" fillId="0" borderId="6" xfId="2" applyNumberFormat="1" applyFont="1" applyFill="1" applyBorder="1" applyAlignment="1">
      <alignment horizontal="right"/>
    </xf>
    <xf numFmtId="1" fontId="9" fillId="0" borderId="11" xfId="15" applyNumberFormat="1" applyFont="1" applyFill="1" applyBorder="1" applyAlignment="1">
      <alignment horizontal="center"/>
    </xf>
    <xf numFmtId="0" fontId="9" fillId="13" borderId="4" xfId="2" applyFont="1" applyFill="1" applyBorder="1" applyAlignment="1">
      <alignment horizontal="center"/>
    </xf>
    <xf numFmtId="165" fontId="9" fillId="0" borderId="1" xfId="1" applyNumberFormat="1" applyFont="1" applyFill="1" applyBorder="1"/>
    <xf numFmtId="0" fontId="9" fillId="0" borderId="7" xfId="2" applyFont="1" applyFill="1" applyBorder="1" applyAlignment="1">
      <alignment horizontal="center"/>
    </xf>
    <xf numFmtId="9" fontId="9" fillId="0" borderId="11" xfId="13" applyNumberFormat="1" applyFont="1" applyBorder="1"/>
    <xf numFmtId="9" fontId="9" fillId="0" borderId="4" xfId="13" applyNumberFormat="1" applyFont="1" applyBorder="1"/>
    <xf numFmtId="0" fontId="9" fillId="0" borderId="25" xfId="2" applyFont="1" applyFill="1" applyBorder="1"/>
    <xf numFmtId="2" fontId="9" fillId="11" borderId="62" xfId="13" applyNumberFormat="1" applyFont="1" applyFill="1" applyBorder="1" applyAlignment="1">
      <alignment horizontal="center"/>
    </xf>
    <xf numFmtId="2" fontId="9" fillId="7" borderId="62" xfId="13" applyNumberFormat="1" applyFont="1" applyFill="1" applyBorder="1" applyAlignment="1">
      <alignment horizontal="center"/>
    </xf>
    <xf numFmtId="2" fontId="9" fillId="12" borderId="62" xfId="13" applyNumberFormat="1" applyFont="1" applyFill="1" applyBorder="1" applyAlignment="1">
      <alignment horizontal="center"/>
    </xf>
    <xf numFmtId="0" fontId="9" fillId="0" borderId="57" xfId="2" applyFont="1" applyFill="1" applyBorder="1" applyAlignment="1">
      <alignment horizontal="left"/>
    </xf>
    <xf numFmtId="2" fontId="9" fillId="12" borderId="63" xfId="13" applyNumberFormat="1" applyFont="1" applyFill="1" applyBorder="1" applyAlignment="1">
      <alignment horizontal="center"/>
    </xf>
    <xf numFmtId="0" fontId="34" fillId="0" borderId="0" xfId="20" applyFont="1" applyAlignment="1" applyProtection="1"/>
    <xf numFmtId="0" fontId="17" fillId="0" borderId="0" xfId="14" applyFont="1"/>
    <xf numFmtId="0" fontId="17" fillId="0" borderId="0" xfId="14" applyFont="1" applyAlignment="1">
      <alignment horizontal="center"/>
    </xf>
    <xf numFmtId="0" fontId="17" fillId="0" borderId="1" xfId="14" applyFont="1" applyBorder="1" applyAlignment="1">
      <alignment horizontal="center" vertical="center" wrapText="1"/>
    </xf>
    <xf numFmtId="0" fontId="17" fillId="0" borderId="1" xfId="14" applyFont="1" applyBorder="1" applyAlignment="1">
      <alignment vertical="center" wrapText="1"/>
    </xf>
    <xf numFmtId="0" fontId="17" fillId="0" borderId="1" xfId="14" applyFont="1" applyBorder="1"/>
    <xf numFmtId="0" fontId="20" fillId="0" borderId="1" xfId="0" applyFont="1" applyFill="1" applyBorder="1" applyAlignment="1">
      <alignment horizontal="center" vertical="center" wrapText="1"/>
    </xf>
    <xf numFmtId="0" fontId="42" fillId="0" borderId="0" xfId="21" applyFont="1" applyFill="1" applyAlignment="1" applyProtection="1"/>
    <xf numFmtId="0" fontId="43" fillId="0" borderId="0" xfId="14" applyFont="1"/>
    <xf numFmtId="0" fontId="22" fillId="0" borderId="0" xfId="14" applyNumberFormat="1" applyFont="1" applyAlignment="1">
      <alignment horizontal="center"/>
    </xf>
    <xf numFmtId="0" fontId="43" fillId="0" borderId="0" xfId="14" applyNumberFormat="1" applyFont="1"/>
    <xf numFmtId="0" fontId="10" fillId="0" borderId="0" xfId="14" applyFont="1" applyAlignment="1">
      <alignment horizontal="right"/>
    </xf>
    <xf numFmtId="1" fontId="9" fillId="0" borderId="0" xfId="14" applyNumberFormat="1" applyFont="1" applyFill="1" applyAlignment="1">
      <alignment horizontal="left"/>
    </xf>
    <xf numFmtId="0" fontId="9" fillId="0" borderId="0" xfId="14" applyFont="1"/>
    <xf numFmtId="0" fontId="24" fillId="0" borderId="0" xfId="14" applyFont="1" applyAlignment="1">
      <alignment horizontal="center"/>
    </xf>
    <xf numFmtId="0" fontId="24" fillId="0" borderId="0" xfId="14" applyNumberFormat="1" applyFont="1" applyAlignment="1">
      <alignment horizontal="center"/>
    </xf>
    <xf numFmtId="0" fontId="10" fillId="0" borderId="0" xfId="14" applyNumberFormat="1" applyFont="1"/>
    <xf numFmtId="0" fontId="9" fillId="0" borderId="0" xfId="14" applyFont="1" applyAlignment="1">
      <alignment horizontal="right"/>
    </xf>
    <xf numFmtId="1" fontId="9" fillId="0" borderId="0" xfId="14" applyNumberFormat="1" applyFont="1" applyFill="1" applyAlignment="1">
      <alignment horizontal="center"/>
    </xf>
    <xf numFmtId="1" fontId="10" fillId="0" borderId="0" xfId="14" applyNumberFormat="1" applyFont="1" applyFill="1" applyAlignment="1">
      <alignment horizontal="left"/>
    </xf>
    <xf numFmtId="0" fontId="9" fillId="4" borderId="3" xfId="13" applyFont="1" applyFill="1" applyBorder="1" applyAlignment="1">
      <alignment horizontal="center" textRotation="90" wrapText="1"/>
    </xf>
    <xf numFmtId="0" fontId="9" fillId="4" borderId="1" xfId="13" applyFont="1" applyFill="1" applyBorder="1" applyAlignment="1">
      <alignment horizontal="center"/>
    </xf>
    <xf numFmtId="0" fontId="9" fillId="4" borderId="3" xfId="13" applyFont="1" applyFill="1" applyBorder="1" applyAlignment="1">
      <alignment horizontal="center"/>
    </xf>
    <xf numFmtId="0" fontId="24" fillId="0" borderId="0" xfId="14" applyFont="1"/>
    <xf numFmtId="0" fontId="24" fillId="0" borderId="0" xfId="14" applyNumberFormat="1" applyFont="1"/>
    <xf numFmtId="0" fontId="25" fillId="0" borderId="0" xfId="13" applyFont="1" applyFill="1" applyBorder="1"/>
    <xf numFmtId="9" fontId="9" fillId="0" borderId="5" xfId="5" applyFont="1" applyFill="1" applyBorder="1" applyAlignment="1">
      <alignment horizontal="center"/>
    </xf>
    <xf numFmtId="0" fontId="24" fillId="0" borderId="0" xfId="14" applyFont="1" applyBorder="1"/>
    <xf numFmtId="9" fontId="9" fillId="0" borderId="18" xfId="5" applyFont="1" applyFill="1" applyBorder="1" applyAlignment="1">
      <alignment horizontal="center"/>
    </xf>
    <xf numFmtId="0" fontId="9" fillId="0" borderId="0" xfId="13" applyFont="1" applyFill="1" applyBorder="1" applyAlignment="1">
      <alignment horizontal="right"/>
    </xf>
    <xf numFmtId="0" fontId="29" fillId="0" borderId="4" xfId="13" applyFont="1" applyFill="1" applyBorder="1"/>
    <xf numFmtId="0" fontId="9" fillId="0" borderId="4" xfId="14" applyFont="1" applyBorder="1" applyAlignment="1">
      <alignment horizontal="center"/>
    </xf>
    <xf numFmtId="0" fontId="9" fillId="0" borderId="1" xfId="14" applyFont="1" applyBorder="1" applyAlignment="1">
      <alignment horizontal="center"/>
    </xf>
    <xf numFmtId="0" fontId="24" fillId="0" borderId="0" xfId="14" applyFont="1" applyFill="1" applyAlignment="1">
      <alignment horizontal="center"/>
    </xf>
    <xf numFmtId="0" fontId="24" fillId="0" borderId="0" xfId="14" applyNumberFormat="1" applyFont="1" applyFill="1" applyAlignment="1">
      <alignment horizontal="center"/>
    </xf>
    <xf numFmtId="0" fontId="10" fillId="0" borderId="0" xfId="14" applyNumberFormat="1" applyFont="1" applyFill="1"/>
    <xf numFmtId="2" fontId="10" fillId="0" borderId="4" xfId="22" applyNumberFormat="1" applyFont="1" applyFill="1" applyBorder="1" applyAlignment="1">
      <alignment horizontal="center"/>
    </xf>
    <xf numFmtId="2" fontId="10" fillId="0" borderId="1" xfId="22" applyNumberFormat="1" applyFont="1" applyFill="1" applyBorder="1" applyAlignment="1">
      <alignment horizontal="center"/>
    </xf>
    <xf numFmtId="0" fontId="44" fillId="0" borderId="0" xfId="14" applyFont="1" applyFill="1" applyAlignment="1">
      <alignment horizontal="center"/>
    </xf>
    <xf numFmtId="0" fontId="44" fillId="0" borderId="0" xfId="14" applyNumberFormat="1" applyFont="1" applyFill="1" applyAlignment="1">
      <alignment horizontal="center"/>
    </xf>
    <xf numFmtId="0" fontId="45" fillId="0" borderId="0" xfId="14" applyNumberFormat="1" applyFont="1" applyFill="1"/>
    <xf numFmtId="0" fontId="45" fillId="0" borderId="0" xfId="14" applyFont="1" applyFill="1"/>
    <xf numFmtId="0" fontId="24" fillId="0" borderId="3" xfId="14" applyFont="1" applyFill="1" applyBorder="1" applyAlignment="1">
      <alignment horizontal="center"/>
    </xf>
    <xf numFmtId="0" fontId="17" fillId="0" borderId="1" xfId="0" applyFont="1" applyBorder="1"/>
    <xf numFmtId="15" fontId="17" fillId="0" borderId="1" xfId="0" applyNumberFormat="1" applyFont="1" applyBorder="1" applyAlignment="1">
      <alignment horizontal="center"/>
    </xf>
    <xf numFmtId="15" fontId="17" fillId="0" borderId="1" xfId="14" applyNumberFormat="1" applyFont="1" applyBorder="1" applyAlignment="1">
      <alignment horizontal="center" vertical="center"/>
    </xf>
    <xf numFmtId="0" fontId="9" fillId="0" borderId="1" xfId="2" applyFont="1" applyFill="1" applyBorder="1"/>
    <xf numFmtId="2" fontId="9" fillId="0" borderId="18" xfId="6" applyNumberFormat="1" applyFont="1" applyFill="1" applyBorder="1" applyAlignment="1">
      <alignment horizontal="center"/>
    </xf>
    <xf numFmtId="0" fontId="17" fillId="0" borderId="36" xfId="0" applyFont="1" applyBorder="1"/>
    <xf numFmtId="0" fontId="17" fillId="0" borderId="19" xfId="0" applyFont="1" applyBorder="1"/>
    <xf numFmtId="0" fontId="17" fillId="0" borderId="37" xfId="0" applyFont="1" applyBorder="1"/>
    <xf numFmtId="0" fontId="17" fillId="0" borderId="29" xfId="0" applyFont="1" applyBorder="1"/>
    <xf numFmtId="0" fontId="17" fillId="0" borderId="31" xfId="0" applyFont="1" applyBorder="1"/>
    <xf numFmtId="0" fontId="17" fillId="0" borderId="30" xfId="0" applyFont="1" applyBorder="1"/>
    <xf numFmtId="0" fontId="17" fillId="0" borderId="25" xfId="0" applyFont="1" applyBorder="1"/>
    <xf numFmtId="164" fontId="40" fillId="0" borderId="4" xfId="11" applyNumberFormat="1" applyFill="1" applyBorder="1" applyAlignment="1" applyProtection="1"/>
    <xf numFmtId="0" fontId="17" fillId="0" borderId="32" xfId="0" applyFont="1" applyBorder="1"/>
    <xf numFmtId="0" fontId="17" fillId="0" borderId="4" xfId="0" applyFont="1" applyBorder="1"/>
    <xf numFmtId="0" fontId="17" fillId="0" borderId="33" xfId="0" applyFont="1" applyBorder="1"/>
    <xf numFmtId="0" fontId="32" fillId="4" borderId="0" xfId="19" applyFont="1" applyFill="1" applyAlignment="1">
      <alignment horizontal="right"/>
    </xf>
    <xf numFmtId="0" fontId="32" fillId="4" borderId="0" xfId="19" applyFont="1" applyFill="1" applyAlignment="1">
      <alignment horizontal="left"/>
    </xf>
    <xf numFmtId="0" fontId="40" fillId="0" borderId="12" xfId="11" applyBorder="1" applyAlignment="1" applyProtection="1"/>
    <xf numFmtId="169" fontId="17" fillId="0" borderId="13" xfId="0" applyNumberFormat="1" applyFont="1" applyBorder="1"/>
    <xf numFmtId="0" fontId="16" fillId="0" borderId="22" xfId="0" applyFont="1" applyBorder="1" applyAlignment="1">
      <alignment horizontal="center"/>
    </xf>
    <xf numFmtId="169" fontId="16" fillId="0" borderId="64" xfId="0" applyNumberFormat="1" applyFont="1" applyBorder="1" applyAlignment="1">
      <alignment horizontal="center"/>
    </xf>
    <xf numFmtId="2" fontId="10" fillId="0" borderId="3" xfId="22" applyNumberFormat="1" applyFont="1" applyFill="1" applyBorder="1" applyAlignment="1">
      <alignment horizontal="center"/>
    </xf>
    <xf numFmtId="0" fontId="9" fillId="0" borderId="4" xfId="2" applyFont="1" applyFill="1" applyBorder="1" applyAlignment="1">
      <alignment horizontal="left"/>
    </xf>
    <xf numFmtId="2" fontId="10" fillId="14" borderId="5" xfId="22" applyNumberFormat="1" applyFont="1" applyFill="1" applyBorder="1" applyAlignment="1">
      <alignment horizontal="center"/>
    </xf>
    <xf numFmtId="2" fontId="10" fillId="14" borderId="10" xfId="22" applyNumberFormat="1" applyFont="1" applyFill="1" applyBorder="1" applyAlignment="1">
      <alignment horizontal="center"/>
    </xf>
    <xf numFmtId="2" fontId="10" fillId="14" borderId="7" xfId="22" applyNumberFormat="1" applyFont="1" applyFill="1" applyBorder="1" applyAlignment="1">
      <alignment horizontal="center"/>
    </xf>
    <xf numFmtId="0" fontId="9" fillId="0" borderId="4" xfId="13" applyFont="1" applyFill="1" applyBorder="1"/>
    <xf numFmtId="2" fontId="10" fillId="0" borderId="5" xfId="22" applyNumberFormat="1" applyFont="1" applyFill="1" applyBorder="1" applyAlignment="1">
      <alignment horizontal="center"/>
    </xf>
    <xf numFmtId="0" fontId="9" fillId="0" borderId="4" xfId="13" applyFont="1" applyFill="1" applyBorder="1" applyAlignment="1">
      <alignment horizontal="right"/>
    </xf>
    <xf numFmtId="0" fontId="46" fillId="5" borderId="1" xfId="0" applyFont="1" applyFill="1" applyBorder="1"/>
    <xf numFmtId="0" fontId="31" fillId="0" borderId="1" xfId="14" applyFont="1" applyBorder="1" applyAlignment="1">
      <alignment horizontal="left"/>
    </xf>
    <xf numFmtId="9" fontId="31" fillId="0" borderId="1" xfId="0" applyNumberFormat="1" applyFont="1" applyBorder="1"/>
    <xf numFmtId="0" fontId="2" fillId="0" borderId="0" xfId="0" applyFont="1"/>
    <xf numFmtId="0" fontId="31" fillId="0" borderId="1" xfId="13" applyFont="1" applyBorder="1"/>
    <xf numFmtId="0" fontId="31" fillId="0" borderId="4" xfId="14" applyFont="1" applyBorder="1" applyAlignment="1">
      <alignment horizontal="left"/>
    </xf>
    <xf numFmtId="0" fontId="31" fillId="0" borderId="4" xfId="13" applyFont="1" applyBorder="1"/>
    <xf numFmtId="0" fontId="47" fillId="0" borderId="1" xfId="0" applyFont="1" applyBorder="1"/>
    <xf numFmtId="0" fontId="2" fillId="0" borderId="1" xfId="0" applyFont="1" applyBorder="1"/>
    <xf numFmtId="15" fontId="48" fillId="0" borderId="0" xfId="0" applyNumberFormat="1" applyFont="1"/>
    <xf numFmtId="0" fontId="49" fillId="0" borderId="0" xfId="14" applyFont="1"/>
    <xf numFmtId="0" fontId="10" fillId="0" borderId="1" xfId="2" applyFont="1" applyFill="1" applyBorder="1" applyAlignment="1">
      <alignment horizontal="left"/>
    </xf>
    <xf numFmtId="15" fontId="50" fillId="0" borderId="0" xfId="0" applyNumberFormat="1" applyFont="1"/>
    <xf numFmtId="9" fontId="0" fillId="0" borderId="1" xfId="0" applyNumberFormat="1" applyBorder="1"/>
    <xf numFmtId="9" fontId="10" fillId="0" borderId="1" xfId="5" applyFont="1" applyFill="1" applyBorder="1"/>
    <xf numFmtId="2" fontId="9" fillId="0" borderId="1" xfId="0" applyNumberFormat="1" applyFont="1" applyBorder="1" applyAlignment="1">
      <alignment horizontal="center"/>
    </xf>
    <xf numFmtId="2" fontId="9" fillId="0" borderId="1" xfId="0" applyNumberFormat="1" applyFont="1" applyBorder="1" applyAlignment="1">
      <alignment horizontal="center" vertical="center"/>
    </xf>
    <xf numFmtId="169" fontId="51" fillId="0" borderId="0" xfId="11" applyNumberFormat="1" applyFont="1" applyFill="1" applyBorder="1" applyAlignment="1" applyProtection="1">
      <protection locked="0"/>
    </xf>
    <xf numFmtId="0" fontId="16" fillId="0" borderId="61" xfId="14" applyFont="1" applyFill="1" applyBorder="1" applyAlignment="1"/>
    <xf numFmtId="0" fontId="20" fillId="0" borderId="27" xfId="14" applyFont="1" applyFill="1" applyBorder="1" applyAlignment="1">
      <alignment horizontal="center" vertical="center" wrapText="1"/>
    </xf>
    <xf numFmtId="0" fontId="16" fillId="4" borderId="61" xfId="14" applyFont="1" applyFill="1" applyBorder="1" applyAlignment="1">
      <alignment horizontal="left"/>
    </xf>
    <xf numFmtId="0" fontId="16" fillId="4" borderId="41" xfId="14" applyFont="1" applyFill="1" applyBorder="1" applyAlignment="1">
      <alignment horizontal="left"/>
    </xf>
    <xf numFmtId="0" fontId="16" fillId="4" borderId="59" xfId="14" applyFont="1" applyFill="1" applyBorder="1" applyAlignment="1">
      <alignment horizontal="left"/>
    </xf>
    <xf numFmtId="0" fontId="16" fillId="4" borderId="41" xfId="14" applyFont="1" applyFill="1" applyBorder="1"/>
    <xf numFmtId="0" fontId="16" fillId="4" borderId="47" xfId="14" applyFont="1" applyFill="1" applyBorder="1" applyAlignment="1">
      <alignment horizontal="left" wrapText="1"/>
    </xf>
    <xf numFmtId="0" fontId="42" fillId="0" borderId="0" xfId="23" applyFont="1" applyFill="1" applyAlignment="1" applyProtection="1"/>
    <xf numFmtId="0" fontId="22" fillId="0" borderId="0" xfId="14" applyFont="1" applyAlignment="1">
      <alignment horizontal="center"/>
    </xf>
    <xf numFmtId="0" fontId="32" fillId="0" borderId="0" xfId="14" applyFont="1" applyAlignment="1">
      <alignment horizontal="left"/>
    </xf>
    <xf numFmtId="0" fontId="9" fillId="0" borderId="0" xfId="14" applyFont="1" applyAlignment="1">
      <alignment horizontal="left"/>
    </xf>
    <xf numFmtId="0" fontId="52" fillId="0" borderId="0" xfId="23" applyFont="1" applyFill="1" applyAlignment="1" applyProtection="1"/>
    <xf numFmtId="169" fontId="9" fillId="0" borderId="0" xfId="14" applyNumberFormat="1" applyFont="1" applyAlignment="1">
      <alignment horizontal="left"/>
    </xf>
    <xf numFmtId="1" fontId="9" fillId="0" borderId="0" xfId="14" applyNumberFormat="1" applyFont="1" applyAlignment="1">
      <alignment horizontal="center"/>
    </xf>
    <xf numFmtId="1" fontId="9" fillId="0" borderId="0" xfId="14" applyNumberFormat="1" applyFont="1" applyAlignment="1">
      <alignment horizontal="left"/>
    </xf>
    <xf numFmtId="0" fontId="9" fillId="0" borderId="1" xfId="13" applyFont="1" applyBorder="1" applyAlignment="1">
      <alignment horizontal="right"/>
    </xf>
    <xf numFmtId="0" fontId="25" fillId="0" borderId="4" xfId="13" applyFont="1" applyBorder="1"/>
    <xf numFmtId="0" fontId="9" fillId="0" borderId="4" xfId="13" applyFont="1" applyBorder="1" applyAlignment="1">
      <alignment horizontal="right"/>
    </xf>
    <xf numFmtId="2" fontId="9" fillId="0" borderId="1" xfId="24" applyNumberFormat="1" applyFont="1" applyBorder="1" applyAlignment="1">
      <alignment horizontal="center"/>
    </xf>
    <xf numFmtId="0" fontId="44" fillId="0" borderId="0" xfId="14" applyFont="1" applyAlignment="1">
      <alignment horizontal="center"/>
    </xf>
    <xf numFmtId="0" fontId="45" fillId="0" borderId="0" xfId="14" applyFont="1"/>
    <xf numFmtId="0" fontId="9" fillId="0" borderId="4" xfId="13" applyFont="1" applyBorder="1"/>
    <xf numFmtId="2" fontId="9" fillId="0" borderId="5" xfId="24" applyNumberFormat="1" applyFont="1" applyBorder="1" applyAlignment="1">
      <alignment horizontal="center"/>
    </xf>
    <xf numFmtId="0" fontId="11" fillId="0" borderId="4" xfId="13" applyFont="1" applyBorder="1"/>
    <xf numFmtId="0" fontId="9" fillId="0" borderId="11" xfId="14" applyFont="1" applyBorder="1" applyAlignment="1">
      <alignment horizontal="center"/>
    </xf>
    <xf numFmtId="0" fontId="9" fillId="0" borderId="5" xfId="14" applyFont="1" applyBorder="1" applyAlignment="1">
      <alignment horizontal="center"/>
    </xf>
    <xf numFmtId="0" fontId="9" fillId="14" borderId="5" xfId="14" applyFont="1" applyFill="1" applyBorder="1" applyAlignment="1">
      <alignment horizontal="center"/>
    </xf>
    <xf numFmtId="0" fontId="9" fillId="14" borderId="10" xfId="14" applyFont="1" applyFill="1" applyBorder="1" applyAlignment="1">
      <alignment horizontal="center"/>
    </xf>
    <xf numFmtId="0" fontId="9" fillId="14" borderId="7" xfId="14" applyFont="1" applyFill="1" applyBorder="1" applyAlignment="1">
      <alignment horizontal="center"/>
    </xf>
    <xf numFmtId="0" fontId="17" fillId="0" borderId="1" xfId="8" applyFont="1" applyBorder="1" applyAlignment="1">
      <alignment vertical="center"/>
    </xf>
    <xf numFmtId="0" fontId="17" fillId="0" borderId="1" xfId="0" applyFont="1" applyFill="1" applyBorder="1" applyAlignment="1">
      <alignment vertical="center"/>
    </xf>
    <xf numFmtId="0" fontId="17" fillId="0" borderId="1" xfId="0" applyFont="1" applyBorder="1" applyAlignment="1"/>
    <xf numFmtId="0" fontId="17" fillId="0" borderId="1" xfId="14" applyFont="1" applyBorder="1" applyAlignment="1">
      <alignment vertical="center"/>
    </xf>
    <xf numFmtId="0" fontId="49" fillId="0" borderId="1" xfId="14" applyFont="1" applyBorder="1"/>
    <xf numFmtId="0" fontId="53" fillId="0" borderId="0" xfId="25" applyFont="1" applyAlignment="1">
      <alignment horizontal="right" vertical="center"/>
    </xf>
    <xf numFmtId="15" fontId="53" fillId="0" borderId="0" xfId="25" applyNumberFormat="1" applyFont="1" applyAlignment="1">
      <alignment horizontal="left" vertical="center"/>
    </xf>
    <xf numFmtId="0" fontId="33" fillId="0" borderId="0" xfId="17" applyAlignment="1" applyProtection="1">
      <alignment horizontal="center" vertical="center"/>
    </xf>
    <xf numFmtId="0" fontId="3" fillId="0" borderId="0" xfId="25" applyFont="1"/>
    <xf numFmtId="0" fontId="3" fillId="0" borderId="0" xfId="25" applyFont="1" applyAlignment="1">
      <alignment horizontal="center" vertical="center" wrapText="1"/>
    </xf>
    <xf numFmtId="0" fontId="55" fillId="0" borderId="0" xfId="25" applyFont="1" applyAlignment="1">
      <alignment horizontal="center" vertical="center"/>
    </xf>
    <xf numFmtId="0" fontId="56" fillId="0" borderId="0" xfId="25" applyFont="1" applyAlignment="1">
      <alignment horizontal="center" vertical="center" wrapText="1"/>
    </xf>
    <xf numFmtId="0" fontId="57" fillId="0" borderId="5" xfId="12" applyFont="1" applyBorder="1" applyAlignment="1">
      <alignment horizontal="center" vertical="center" textRotation="180"/>
    </xf>
    <xf numFmtId="0" fontId="57" fillId="5" borderId="5" xfId="12" applyFont="1" applyFill="1" applyBorder="1" applyAlignment="1">
      <alignment horizontal="center" vertical="center" textRotation="180"/>
    </xf>
    <xf numFmtId="0" fontId="59" fillId="0" borderId="29" xfId="25" applyFont="1" applyBorder="1"/>
    <xf numFmtId="0" fontId="59" fillId="0" borderId="31" xfId="25" applyFont="1" applyBorder="1"/>
    <xf numFmtId="0" fontId="59" fillId="0" borderId="31" xfId="12" applyFont="1" applyBorder="1" applyAlignment="1">
      <alignment horizontal="center" vertical="center"/>
    </xf>
    <xf numFmtId="0" fontId="2" fillId="0" borderId="0" xfId="25"/>
    <xf numFmtId="0" fontId="59" fillId="0" borderId="8" xfId="25" applyFont="1" applyBorder="1"/>
    <xf numFmtId="0" fontId="59" fillId="0" borderId="1" xfId="25" applyFont="1" applyBorder="1"/>
    <xf numFmtId="0" fontId="59" fillId="0" borderId="1" xfId="12" applyFont="1" applyBorder="1" applyAlignment="1">
      <alignment horizontal="center" vertical="center"/>
    </xf>
    <xf numFmtId="0" fontId="59" fillId="0" borderId="15" xfId="25" applyFont="1" applyBorder="1"/>
    <xf numFmtId="0" fontId="59" fillId="0" borderId="25" xfId="25" applyFont="1" applyBorder="1" applyAlignment="1">
      <alignment wrapText="1"/>
    </xf>
    <xf numFmtId="0" fontId="59" fillId="0" borderId="25" xfId="12" applyFont="1" applyBorder="1" applyAlignment="1">
      <alignment horizontal="center" vertical="center"/>
    </xf>
    <xf numFmtId="0" fontId="60" fillId="16" borderId="0" xfId="25" applyFont="1" applyFill="1"/>
    <xf numFmtId="0" fontId="59" fillId="0" borderId="65" xfId="25" applyFont="1" applyBorder="1"/>
    <xf numFmtId="0" fontId="59" fillId="0" borderId="62" xfId="25" applyFont="1" applyBorder="1" applyAlignment="1">
      <alignment wrapText="1"/>
    </xf>
    <xf numFmtId="0" fontId="59" fillId="0" borderId="62" xfId="12" applyFont="1" applyBorder="1" applyAlignment="1">
      <alignment horizontal="center" vertical="center"/>
    </xf>
    <xf numFmtId="0" fontId="59" fillId="0" borderId="1" xfId="25" applyFont="1" applyBorder="1" applyAlignment="1">
      <alignment wrapText="1"/>
    </xf>
    <xf numFmtId="0" fontId="10" fillId="0" borderId="0" xfId="2" applyFont="1" applyFill="1" applyBorder="1" applyAlignment="1">
      <alignment horizontal="center"/>
    </xf>
    <xf numFmtId="164" fontId="10" fillId="0" borderId="0" xfId="2" applyNumberFormat="1" applyFont="1" applyFill="1" applyBorder="1" applyAlignment="1">
      <alignment horizontal="center"/>
    </xf>
    <xf numFmtId="0" fontId="9" fillId="0" borderId="4" xfId="2" applyFont="1" applyFill="1" applyBorder="1" applyAlignment="1">
      <alignment horizontal="center" vertical="center"/>
    </xf>
    <xf numFmtId="0" fontId="9" fillId="0" borderId="6" xfId="2" applyFont="1" applyFill="1" applyBorder="1" applyAlignment="1">
      <alignment horizontal="center" vertical="center"/>
    </xf>
    <xf numFmtId="0" fontId="25" fillId="9" borderId="31" xfId="14" applyFont="1" applyFill="1" applyBorder="1" applyAlignment="1">
      <alignment horizontal="center"/>
    </xf>
    <xf numFmtId="0" fontId="9" fillId="0" borderId="4" xfId="13" applyFont="1" applyBorder="1" applyAlignment="1">
      <alignment horizontal="center"/>
    </xf>
    <xf numFmtId="0" fontId="9" fillId="0" borderId="3" xfId="13" applyFont="1" applyBorder="1" applyAlignment="1">
      <alignment horizontal="center"/>
    </xf>
    <xf numFmtId="0" fontId="9" fillId="0" borderId="0" xfId="14" applyFont="1" applyAlignment="1">
      <alignment horizontal="center"/>
    </xf>
    <xf numFmtId="0" fontId="20" fillId="0" borderId="53" xfId="14" applyFont="1" applyFill="1" applyBorder="1" applyAlignment="1">
      <alignment horizontal="center" vertical="center" wrapText="1"/>
    </xf>
    <xf numFmtId="0" fontId="16" fillId="0" borderId="21" xfId="0" applyFont="1" applyBorder="1" applyAlignment="1">
      <alignment horizontal="center"/>
    </xf>
    <xf numFmtId="0" fontId="16" fillId="0" borderId="52" xfId="0" applyFont="1" applyBorder="1" applyAlignment="1">
      <alignment horizontal="center"/>
    </xf>
    <xf numFmtId="0" fontId="25" fillId="8" borderId="31" xfId="14" applyFont="1" applyFill="1" applyBorder="1" applyAlignment="1">
      <alignment horizontal="center"/>
    </xf>
    <xf numFmtId="0" fontId="25" fillId="10" borderId="31" xfId="14" applyFont="1" applyFill="1" applyBorder="1" applyAlignment="1">
      <alignment horizontal="center"/>
    </xf>
    <xf numFmtId="0" fontId="25" fillId="10" borderId="30" xfId="14" applyFont="1" applyFill="1" applyBorder="1" applyAlignment="1">
      <alignment horizontal="center"/>
    </xf>
    <xf numFmtId="0" fontId="21" fillId="4" borderId="0" xfId="13" applyFont="1" applyFill="1" applyBorder="1" applyAlignment="1">
      <alignment horizontal="left"/>
    </xf>
    <xf numFmtId="0" fontId="10" fillId="0" borderId="0" xfId="2" applyFont="1" applyFill="1" applyBorder="1" applyAlignment="1">
      <alignment horizontal="center"/>
    </xf>
    <xf numFmtId="164" fontId="10" fillId="0" borderId="0" xfId="2" applyNumberFormat="1" applyFont="1" applyFill="1" applyBorder="1" applyAlignment="1">
      <alignment horizontal="center"/>
    </xf>
    <xf numFmtId="15" fontId="21" fillId="0" borderId="0" xfId="2" applyNumberFormat="1" applyFont="1" applyFill="1" applyAlignment="1">
      <alignment horizontal="left"/>
    </xf>
    <xf numFmtId="0" fontId="11" fillId="5" borderId="21" xfId="14" applyFont="1" applyFill="1" applyBorder="1" applyAlignment="1">
      <alignment horizontal="left"/>
    </xf>
    <xf numFmtId="0" fontId="11" fillId="5" borderId="23" xfId="14" applyFont="1" applyFill="1" applyBorder="1" applyAlignment="1">
      <alignment horizontal="left"/>
    </xf>
    <xf numFmtId="0" fontId="11" fillId="5" borderId="21" xfId="13" applyFont="1" applyFill="1" applyBorder="1" applyAlignment="1">
      <alignment horizontal="left"/>
    </xf>
    <xf numFmtId="0" fontId="11" fillId="5" borderId="22" xfId="13" applyFont="1" applyFill="1" applyBorder="1" applyAlignment="1">
      <alignment horizontal="left"/>
    </xf>
    <xf numFmtId="0" fontId="11" fillId="5" borderId="23" xfId="13" applyFont="1" applyFill="1" applyBorder="1" applyAlignment="1">
      <alignment horizontal="left"/>
    </xf>
    <xf numFmtId="49" fontId="9" fillId="0" borderId="0" xfId="7" applyNumberFormat="1" applyFont="1" applyFill="1" applyAlignment="1">
      <alignment horizontal="left"/>
    </xf>
    <xf numFmtId="0" fontId="9" fillId="0" borderId="19" xfId="2" applyFont="1" applyFill="1" applyBorder="1" applyAlignment="1">
      <alignment horizontal="center" vertical="center"/>
    </xf>
    <xf numFmtId="164" fontId="9" fillId="0" borderId="17" xfId="2" applyNumberFormat="1" applyFont="1" applyFill="1" applyBorder="1" applyAlignment="1">
      <alignment horizontal="center"/>
    </xf>
    <xf numFmtId="0" fontId="9" fillId="0" borderId="17" xfId="2" applyFont="1" applyFill="1" applyBorder="1" applyAlignment="1">
      <alignment horizontal="center"/>
    </xf>
    <xf numFmtId="0" fontId="11" fillId="3" borderId="21" xfId="13" applyFont="1" applyFill="1" applyBorder="1" applyAlignment="1">
      <alignment horizontal="left"/>
    </xf>
    <xf numFmtId="0" fontId="11" fillId="3" borderId="22" xfId="13" applyFont="1" applyFill="1" applyBorder="1" applyAlignment="1">
      <alignment horizontal="left"/>
    </xf>
    <xf numFmtId="0" fontId="11" fillId="3" borderId="23" xfId="13" applyFont="1" applyFill="1" applyBorder="1" applyAlignment="1">
      <alignment horizontal="left"/>
    </xf>
    <xf numFmtId="0" fontId="9" fillId="0" borderId="18" xfId="2" applyFont="1" applyFill="1" applyBorder="1" applyAlignment="1">
      <alignment horizontal="center" vertical="center"/>
    </xf>
    <xf numFmtId="0" fontId="9" fillId="0" borderId="20"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6" xfId="2" applyFont="1" applyFill="1" applyBorder="1" applyAlignment="1">
      <alignment horizontal="center" vertical="center"/>
    </xf>
    <xf numFmtId="0" fontId="0" fillId="0" borderId="6" xfId="0" applyBorder="1" applyAlignment="1">
      <alignment horizontal="center" vertical="center"/>
    </xf>
    <xf numFmtId="0" fontId="21" fillId="4" borderId="0" xfId="7" applyFont="1" applyFill="1" applyBorder="1" applyAlignment="1">
      <alignment horizontal="left"/>
    </xf>
    <xf numFmtId="0" fontId="9" fillId="0" borderId="3" xfId="2" applyFont="1" applyFill="1" applyBorder="1" applyAlignment="1">
      <alignment horizontal="center" vertical="center"/>
    </xf>
    <xf numFmtId="0" fontId="11" fillId="5" borderId="21" xfId="8" applyFont="1" applyFill="1" applyBorder="1" applyAlignment="1">
      <alignment horizontal="left"/>
    </xf>
    <xf numFmtId="0" fontId="11" fillId="5" borderId="23" xfId="8" applyFont="1" applyFill="1" applyBorder="1" applyAlignment="1">
      <alignment horizontal="left"/>
    </xf>
    <xf numFmtId="0" fontId="25" fillId="9" borderId="31" xfId="14" applyFont="1" applyFill="1" applyBorder="1" applyAlignment="1">
      <alignment horizontal="center"/>
    </xf>
    <xf numFmtId="0" fontId="11" fillId="3" borderId="21" xfId="7" applyFont="1" applyFill="1" applyBorder="1" applyAlignment="1">
      <alignment horizontal="left"/>
    </xf>
    <xf numFmtId="0" fontId="11" fillId="3" borderId="22" xfId="7" applyFont="1" applyFill="1" applyBorder="1" applyAlignment="1">
      <alignment horizontal="left"/>
    </xf>
    <xf numFmtId="0" fontId="11" fillId="3" borderId="23" xfId="7" applyFont="1" applyFill="1" applyBorder="1" applyAlignment="1">
      <alignment horizontal="left"/>
    </xf>
    <xf numFmtId="0" fontId="11" fillId="5" borderId="21" xfId="7" applyFont="1" applyFill="1" applyBorder="1" applyAlignment="1">
      <alignment horizontal="left"/>
    </xf>
    <xf numFmtId="0" fontId="11" fillId="5" borderId="22" xfId="7" applyFont="1" applyFill="1" applyBorder="1" applyAlignment="1">
      <alignment horizontal="left"/>
    </xf>
    <xf numFmtId="0" fontId="11" fillId="5" borderId="23" xfId="7" applyFont="1" applyFill="1" applyBorder="1" applyAlignment="1">
      <alignment horizontal="left"/>
    </xf>
    <xf numFmtId="0" fontId="11" fillId="5" borderId="27" xfId="8" applyFont="1" applyFill="1" applyBorder="1" applyAlignment="1">
      <alignment horizontal="left"/>
    </xf>
    <xf numFmtId="0" fontId="11" fillId="5" borderId="28" xfId="8" applyFont="1" applyFill="1" applyBorder="1" applyAlignment="1">
      <alignment horizontal="left"/>
    </xf>
    <xf numFmtId="0" fontId="21" fillId="0" borderId="0" xfId="14" applyFont="1" applyAlignment="1">
      <alignment horizontal="left"/>
    </xf>
    <xf numFmtId="169" fontId="21" fillId="0" borderId="0" xfId="14" applyNumberFormat="1" applyFont="1" applyAlignment="1">
      <alignment horizontal="left"/>
    </xf>
    <xf numFmtId="0" fontId="9" fillId="0" borderId="4" xfId="13" applyFont="1" applyBorder="1" applyAlignment="1">
      <alignment horizontal="center"/>
    </xf>
    <xf numFmtId="0" fontId="9" fillId="0" borderId="3" xfId="13" applyFont="1" applyBorder="1" applyAlignment="1">
      <alignment horizontal="center"/>
    </xf>
    <xf numFmtId="0" fontId="9" fillId="0" borderId="0" xfId="14" applyFont="1" applyAlignment="1">
      <alignment horizontal="center"/>
    </xf>
    <xf numFmtId="0" fontId="54" fillId="0" borderId="17" xfId="25" applyFont="1" applyBorder="1" applyAlignment="1">
      <alignment horizontal="center"/>
    </xf>
    <xf numFmtId="0" fontId="58" fillId="15" borderId="53" xfId="12" applyFont="1" applyFill="1" applyBorder="1" applyAlignment="1">
      <alignment horizontal="center" vertical="center" textRotation="180"/>
    </xf>
    <xf numFmtId="0" fontId="58" fillId="15" borderId="54" xfId="12" applyFont="1" applyFill="1" applyBorder="1" applyAlignment="1">
      <alignment horizontal="center" vertical="center" textRotation="180"/>
    </xf>
    <xf numFmtId="0" fontId="58" fillId="15" borderId="60" xfId="12" applyFont="1" applyFill="1" applyBorder="1" applyAlignment="1">
      <alignment horizontal="center" vertical="center" textRotation="180"/>
    </xf>
    <xf numFmtId="0" fontId="21" fillId="4" borderId="21" xfId="14" applyFont="1" applyFill="1" applyBorder="1" applyAlignment="1">
      <alignment horizontal="center" vertical="center" wrapText="1"/>
    </xf>
    <xf numFmtId="0" fontId="21" fillId="4" borderId="23" xfId="14" applyFont="1" applyFill="1" applyBorder="1" applyAlignment="1">
      <alignment horizontal="center" vertical="center" wrapText="1"/>
    </xf>
    <xf numFmtId="0" fontId="20" fillId="0" borderId="53" xfId="14" applyFont="1" applyFill="1" applyBorder="1" applyAlignment="1">
      <alignment horizontal="center" vertical="center"/>
    </xf>
    <xf numFmtId="0" fontId="20" fillId="0" borderId="54" xfId="14" applyFont="1" applyFill="1" applyBorder="1" applyAlignment="1">
      <alignment horizontal="center" vertical="center"/>
    </xf>
    <xf numFmtId="0" fontId="20" fillId="0" borderId="60" xfId="14" applyFont="1" applyFill="1" applyBorder="1" applyAlignment="1">
      <alignment horizontal="center" vertical="center"/>
    </xf>
    <xf numFmtId="0" fontId="32" fillId="0" borderId="58" xfId="14" applyFont="1" applyBorder="1" applyAlignment="1">
      <alignment horizontal="center" vertical="center" wrapText="1"/>
    </xf>
    <xf numFmtId="0" fontId="20" fillId="0" borderId="53" xfId="14" applyFont="1" applyBorder="1" applyAlignment="1">
      <alignment horizontal="center" vertical="center" wrapText="1"/>
    </xf>
    <xf numFmtId="0" fontId="20" fillId="0" borderId="54" xfId="14" applyFont="1" applyBorder="1" applyAlignment="1">
      <alignment horizontal="center" vertical="center" wrapText="1"/>
    </xf>
    <xf numFmtId="0" fontId="20" fillId="0" borderId="60" xfId="14" applyFont="1" applyBorder="1" applyAlignment="1">
      <alignment horizontal="center" vertical="center" wrapText="1"/>
    </xf>
    <xf numFmtId="0" fontId="20" fillId="0" borderId="53" xfId="14" applyFont="1" applyFill="1" applyBorder="1" applyAlignment="1">
      <alignment horizontal="center" vertical="center" wrapText="1"/>
    </xf>
    <xf numFmtId="0" fontId="20" fillId="0" borderId="60" xfId="14" applyFont="1" applyFill="1" applyBorder="1" applyAlignment="1">
      <alignment horizontal="center" vertical="center" wrapText="1"/>
    </xf>
    <xf numFmtId="0" fontId="20" fillId="0" borderId="54" xfId="14" applyFont="1" applyFill="1" applyBorder="1" applyAlignment="1">
      <alignment horizontal="center" vertical="center" wrapText="1"/>
    </xf>
    <xf numFmtId="0" fontId="20" fillId="0" borderId="53" xfId="13" applyFont="1" applyFill="1" applyBorder="1" applyAlignment="1">
      <alignment horizontal="center" vertical="center"/>
    </xf>
    <xf numFmtId="0" fontId="20" fillId="0" borderId="54" xfId="13" applyFont="1" applyFill="1" applyBorder="1" applyAlignment="1">
      <alignment horizontal="center" vertical="center"/>
    </xf>
    <xf numFmtId="0" fontId="20" fillId="0" borderId="35" xfId="13" applyFont="1" applyFill="1" applyBorder="1" applyAlignment="1">
      <alignment horizontal="center" vertical="center"/>
    </xf>
  </cellXfs>
  <cellStyles count="26">
    <cellStyle name="Comma 2" xfId="1" xr:uid="{00000000-0005-0000-0000-000000000000}"/>
    <cellStyle name="Comma 2 2" xfId="9" xr:uid="{00000000-0005-0000-0000-000001000000}"/>
    <cellStyle name="Comma 2 2 2" xfId="15" xr:uid="{00000000-0005-0000-0000-000002000000}"/>
    <cellStyle name="Hyperlink" xfId="11" builtinId="8" customBuiltin="1"/>
    <cellStyle name="Hyperlink 2" xfId="17" xr:uid="{00000000-0005-0000-0000-000004000000}"/>
    <cellStyle name="Hyperlink 2 2" xfId="20" xr:uid="{00000000-0005-0000-0000-000005000000}"/>
    <cellStyle name="Hyperlink 3" xfId="21" xr:uid="{00000000-0005-0000-0000-000006000000}"/>
    <cellStyle name="Hyperlink 3 2" xfId="23" xr:uid="{00000000-0005-0000-0000-000007000000}"/>
    <cellStyle name="Normal" xfId="0" builtinId="0"/>
    <cellStyle name="Normal 2" xfId="2" xr:uid="{00000000-0005-0000-0000-000009000000}"/>
    <cellStyle name="Normal 2 2" xfId="8" xr:uid="{00000000-0005-0000-0000-00000A000000}"/>
    <cellStyle name="Normal 2 2 2" xfId="14" xr:uid="{00000000-0005-0000-0000-00000B000000}"/>
    <cellStyle name="Normal 3" xfId="7" xr:uid="{00000000-0005-0000-0000-00000C000000}"/>
    <cellStyle name="Normal 3 2" xfId="13" xr:uid="{00000000-0005-0000-0000-00000D000000}"/>
    <cellStyle name="Normal 3 2 2" xfId="19" xr:uid="{00000000-0005-0000-0000-00000E000000}"/>
    <cellStyle name="Normal 4" xfId="12" xr:uid="{00000000-0005-0000-0000-00000F000000}"/>
    <cellStyle name="Normal 4 2" xfId="18" xr:uid="{00000000-0005-0000-0000-000010000000}"/>
    <cellStyle name="Normal 5" xfId="22" xr:uid="{00000000-0005-0000-0000-000011000000}"/>
    <cellStyle name="Normal 5 2 2" xfId="24" xr:uid="{00000000-0005-0000-0000-000012000000}"/>
    <cellStyle name="Normal 7" xfId="25" xr:uid="{00000000-0005-0000-0000-000013000000}"/>
    <cellStyle name="Normal1" xfId="3" xr:uid="{00000000-0005-0000-0000-000014000000}"/>
    <cellStyle name="Normal2" xfId="4" xr:uid="{00000000-0005-0000-0000-000015000000}"/>
    <cellStyle name="Percent" xfId="5" builtinId="5"/>
    <cellStyle name="Percent 2" xfId="6" xr:uid="{00000000-0005-0000-0000-000017000000}"/>
    <cellStyle name="Percent 2 2" xfId="10" xr:uid="{00000000-0005-0000-0000-000018000000}"/>
    <cellStyle name="Percent 2 2 2" xfId="16" xr:uid="{00000000-0005-0000-0000-000019000000}"/>
  </cellStyles>
  <dxfs count="66">
    <dxf>
      <fill>
        <patternFill>
          <bgColor theme="9" tint="0.79998168889431442"/>
        </patternFill>
      </fill>
    </dxf>
    <dxf>
      <fill>
        <patternFill>
          <bgColor theme="9"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7979"/>
      </font>
    </dxf>
    <dxf>
      <font>
        <color rgb="FFFF7979"/>
      </font>
    </dxf>
    <dxf>
      <font>
        <color rgb="FFFFFF99"/>
      </font>
    </dxf>
    <dxf>
      <font>
        <color rgb="FF66FF66"/>
      </font>
    </dxf>
    <dxf>
      <font>
        <color rgb="FFFFFF99"/>
      </font>
    </dxf>
    <dxf>
      <font>
        <color rgb="FFFFFF99"/>
      </font>
    </dxf>
    <dxf>
      <font>
        <color rgb="FFFFFF99"/>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7979"/>
      </font>
    </dxf>
    <dxf>
      <font>
        <color rgb="FFFF7979"/>
      </font>
    </dxf>
    <dxf>
      <font>
        <color rgb="FFFFFF99"/>
      </font>
    </dxf>
    <dxf>
      <font>
        <color rgb="FF66FF66"/>
      </font>
    </dxf>
    <dxf>
      <font>
        <color rgb="FFFFFF99"/>
      </font>
    </dxf>
    <dxf>
      <font>
        <color rgb="FFFF7979"/>
      </font>
    </dxf>
    <dxf>
      <font>
        <color rgb="FFFF7979"/>
      </font>
    </dxf>
    <dxf>
      <font>
        <color rgb="FFFFFF99"/>
      </font>
    </dxf>
    <dxf>
      <font>
        <color rgb="FF66FF66"/>
      </font>
    </dxf>
    <dxf>
      <font>
        <color rgb="FFFFFF99"/>
      </font>
    </dxf>
    <dxf>
      <font>
        <color rgb="FFFFFF99"/>
      </font>
    </dxf>
    <dxf>
      <font>
        <color rgb="FF66FF66"/>
      </font>
    </dxf>
    <dxf>
      <font>
        <color rgb="FFFF7979"/>
      </font>
    </dxf>
    <dxf>
      <font>
        <color rgb="FFFFFF99"/>
      </font>
    </dxf>
    <dxf>
      <font>
        <color rgb="FF66FF66"/>
      </font>
    </dxf>
    <dxf>
      <font>
        <color rgb="FFFF7979"/>
      </font>
    </dxf>
    <dxf>
      <font>
        <color rgb="FFFFFF99"/>
      </font>
    </dxf>
    <dxf>
      <font>
        <color rgb="FFFF7979"/>
      </font>
    </dxf>
    <dxf>
      <font>
        <color rgb="FFFF7979"/>
      </font>
    </dxf>
    <dxf>
      <font>
        <color rgb="FFFF7979"/>
      </font>
    </dxf>
    <dxf>
      <font>
        <color rgb="FF66FF66"/>
      </font>
    </dxf>
    <dxf>
      <font>
        <color rgb="FFFFFF99"/>
      </font>
    </dxf>
    <dxf>
      <font>
        <color rgb="FFFFFF99"/>
      </font>
    </dxf>
    <dxf>
      <font>
        <color rgb="FFFF7979"/>
      </font>
    </dxf>
    <dxf>
      <font>
        <color rgb="FFFF7979"/>
      </font>
    </dxf>
    <dxf>
      <font>
        <color rgb="FF66FF66"/>
      </font>
    </dxf>
    <dxf>
      <font>
        <color rgb="FFFF7979"/>
      </font>
    </dxf>
    <dxf>
      <font>
        <color rgb="FFFF7979"/>
      </font>
    </dxf>
    <dxf>
      <font>
        <color rgb="FF66FF66"/>
      </font>
    </dxf>
    <dxf>
      <font>
        <color rgb="FFFF7979"/>
      </font>
    </dxf>
    <dxf>
      <font>
        <color rgb="FFFF7979"/>
      </font>
    </dxf>
    <dxf>
      <font>
        <color rgb="FF66FF66"/>
      </font>
    </dxf>
    <dxf>
      <font>
        <color rgb="FFFF7979"/>
      </font>
    </dxf>
    <dxf>
      <font>
        <color rgb="FFFF7979"/>
      </font>
    </dxf>
    <dxf>
      <font>
        <color rgb="FF66FF66"/>
      </font>
    </dxf>
    <dxf>
      <font>
        <color rgb="FFFFFF99"/>
      </font>
    </dxf>
    <dxf>
      <font>
        <color rgb="FF66FF66"/>
      </font>
    </dxf>
    <dxf>
      <font>
        <color rgb="FFFF7979"/>
      </font>
    </dxf>
    <dxf>
      <font>
        <color rgb="FFFFFF99"/>
      </font>
    </dxf>
    <dxf>
      <font>
        <color rgb="FF66FF66"/>
      </font>
    </dxf>
    <dxf>
      <font>
        <color rgb="FFFF7979"/>
      </font>
    </dxf>
    <dxf>
      <font>
        <color rgb="FFFF7979"/>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14</xdr:row>
      <xdr:rowOff>0</xdr:rowOff>
    </xdr:to>
    <xdr:sp macro="" textlink="">
      <xdr:nvSpPr>
        <xdr:cNvPr id="2" name="Line 9">
          <a:extLst>
            <a:ext uri="{FF2B5EF4-FFF2-40B4-BE49-F238E27FC236}">
              <a16:creationId xmlns:a16="http://schemas.microsoft.com/office/drawing/2014/main" id="{00000000-0008-0000-0B00-000002000000}"/>
            </a:ext>
          </a:extLst>
        </xdr:cNvPr>
        <xdr:cNvSpPr>
          <a:spLocks noChangeShapeType="1"/>
        </xdr:cNvSpPr>
      </xdr:nvSpPr>
      <xdr:spPr bwMode="auto">
        <a:xfrm>
          <a:off x="0" y="600075"/>
          <a:ext cx="0" cy="22164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125</xdr:row>
      <xdr:rowOff>0</xdr:rowOff>
    </xdr:to>
    <xdr:sp macro="" textlink="">
      <xdr:nvSpPr>
        <xdr:cNvPr id="2" name="Line 9">
          <a:extLst>
            <a:ext uri="{FF2B5EF4-FFF2-40B4-BE49-F238E27FC236}">
              <a16:creationId xmlns:a16="http://schemas.microsoft.com/office/drawing/2014/main" id="{00000000-0008-0000-0A00-000002000000}"/>
            </a:ext>
          </a:extLst>
        </xdr:cNvPr>
        <xdr:cNvSpPr>
          <a:spLocks noChangeShapeType="1"/>
        </xdr:cNvSpPr>
      </xdr:nvSpPr>
      <xdr:spPr bwMode="auto">
        <a:xfrm>
          <a:off x="0" y="0"/>
          <a:ext cx="0" cy="21088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s://flankspeed.sharepoint-mil.us.mcas-gov.us/sites/CPF-CNAP-HQ/N42/N422/SharedDocuments/Forms/AllItems.aspx?id=%2Fsites%2FCPF%2DCNAP%2DHQ%2FN42%2FN422%2FSharedDocuments%2FN422C%20NAMP%2FMESMs%2FP%2D8A%20MESM%2C%2022%20APR%202021%2Epdf&amp;parent=%2Fsites%2FCPF%2DCNAP%2DHQ%2FN42%2FN422%2FSharedDocuments%2FN422C%20NAMP%2FMESMs"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1"/>
  <sheetViews>
    <sheetView showGridLines="0" tabSelected="1" workbookViewId="0">
      <selection sqref="A1:B1"/>
    </sheetView>
  </sheetViews>
  <sheetFormatPr defaultRowHeight="12.75" x14ac:dyDescent="0.2"/>
  <cols>
    <col min="1" max="1" width="57.85546875" bestFit="1" customWidth="1"/>
    <col min="2" max="3" width="13.42578125" customWidth="1"/>
    <col min="4" max="4" width="11.42578125" customWidth="1"/>
  </cols>
  <sheetData>
    <row r="1" spans="1:5" s="123" customFormat="1" ht="15.75" thickBot="1" x14ac:dyDescent="0.3">
      <c r="A1" s="657" t="s">
        <v>0</v>
      </c>
      <c r="B1" s="658"/>
      <c r="C1" s="562" t="s">
        <v>1</v>
      </c>
      <c r="D1" s="563" t="s">
        <v>2</v>
      </c>
    </row>
    <row r="2" spans="1:5" s="123" customFormat="1" ht="15" x14ac:dyDescent="0.25">
      <c r="A2" s="560" t="str">
        <f>'P-8A Standard (U)'!A1:B1</f>
        <v>Readiness Standards P-8A</v>
      </c>
      <c r="B2" s="467" t="s">
        <v>3</v>
      </c>
      <c r="C2" s="551">
        <f>'P-8A Standard (U)'!W1</f>
        <v>13.01</v>
      </c>
      <c r="D2" s="561">
        <f>'P-8A Standard (U)'!H1</f>
        <v>44835</v>
      </c>
      <c r="E2" s="124" t="str">
        <f t="shared" ref="E2:E15" ca="1" si="0">IF(D2&gt;NOW()-90," ! NEW","")</f>
        <v/>
      </c>
    </row>
    <row r="3" spans="1:5" s="123" customFormat="1" ht="15" x14ac:dyDescent="0.25">
      <c r="A3" s="287" t="str">
        <f>'P3C FRU (Reserve) Standard (U) '!A1:B1</f>
        <v xml:space="preserve">Readiness Standards P-3C FRU (Reserve) </v>
      </c>
      <c r="B3" s="554" t="s">
        <v>3</v>
      </c>
      <c r="C3" s="542">
        <f>'P3C FRU (Reserve) Standard (U) '!W1</f>
        <v>13.02</v>
      </c>
      <c r="D3" s="125">
        <f>'P3C FRU (Reserve) Standard (U) '!H1</f>
        <v>44835</v>
      </c>
      <c r="E3" s="124" t="str">
        <f t="shared" ca="1" si="0"/>
        <v/>
      </c>
    </row>
    <row r="4" spans="1:5" s="123" customFormat="1" ht="15" x14ac:dyDescent="0.25">
      <c r="A4" s="287" t="str">
        <f>'VP FRS'!A1:F1</f>
        <v>Readiness Standards VP FRS</v>
      </c>
      <c r="B4" s="340"/>
      <c r="C4" s="542">
        <f>'VP FRS'!W1</f>
        <v>13.03</v>
      </c>
      <c r="D4" s="125">
        <f>'VP FRS'!J1</f>
        <v>44835</v>
      </c>
      <c r="E4" s="124" t="str">
        <f t="shared" ca="1" si="0"/>
        <v/>
      </c>
    </row>
    <row r="5" spans="1:5" s="123" customFormat="1" ht="15" x14ac:dyDescent="0.25">
      <c r="A5" s="287" t="str">
        <f>'VP PDAA'!A1</f>
        <v>Readiness Standards VP P-8A, P-3C Test</v>
      </c>
      <c r="B5" s="340"/>
      <c r="C5" s="542">
        <f>'VP PDAA'!W1</f>
        <v>13.04</v>
      </c>
      <c r="D5" s="125">
        <f>'VP PDAA'!H1</f>
        <v>44835</v>
      </c>
      <c r="E5" s="124" t="str">
        <f t="shared" ca="1" si="0"/>
        <v/>
      </c>
    </row>
    <row r="6" spans="1:5" s="123" customFormat="1" ht="15" x14ac:dyDescent="0.25">
      <c r="A6" s="287" t="str">
        <f>'VP P-3C Reduced Matrix'!C2</f>
        <v>Navy P-3C TMS Reduced MET to Mission System Map</v>
      </c>
      <c r="B6" s="340"/>
      <c r="C6" s="542"/>
      <c r="D6" s="408">
        <f>'VP P-3C Reduced Matrix'!B1</f>
        <v>43435</v>
      </c>
      <c r="E6" s="124" t="str">
        <f t="shared" ca="1" si="0"/>
        <v/>
      </c>
    </row>
    <row r="7" spans="1:5" s="123" customFormat="1" ht="15" x14ac:dyDescent="0.25">
      <c r="A7" s="287" t="str">
        <f>'VP P-8A Reduced Matrix'!C2</f>
        <v>Navy P-8A TMS Reduced MET to Mission System Map</v>
      </c>
      <c r="B7" s="340"/>
      <c r="C7" s="542"/>
      <c r="D7" s="125">
        <f>'VP P-8A Reduced Matrix'!B1</f>
        <v>43435</v>
      </c>
      <c r="E7" s="124" t="str">
        <f t="shared" ca="1" si="0"/>
        <v/>
      </c>
    </row>
    <row r="8" spans="1:5" s="123" customFormat="1" ht="15" x14ac:dyDescent="0.25">
      <c r="A8" s="287" t="str">
        <f>'P-8A Mission System Summary'!A1</f>
        <v>MPRA Mission System Utilization per Flight Task</v>
      </c>
      <c r="B8" s="340"/>
      <c r="C8" s="542"/>
      <c r="D8" s="125">
        <f>'P-8A Mission System Summary'!K1</f>
        <v>44825</v>
      </c>
      <c r="E8" s="124" t="str">
        <f t="shared" ca="1" si="0"/>
        <v/>
      </c>
    </row>
    <row r="9" spans="1:5" s="123" customFormat="1" ht="15" x14ac:dyDescent="0.25">
      <c r="A9" s="287" t="str">
        <f>'VP P-8A Mission Systems'!A1</f>
        <v>Mission System Groups VP P-8A</v>
      </c>
      <c r="B9" s="340"/>
      <c r="C9" s="542"/>
      <c r="D9" s="125">
        <v>42800</v>
      </c>
      <c r="E9" s="124" t="str">
        <f t="shared" ca="1" si="0"/>
        <v/>
      </c>
    </row>
    <row r="10" spans="1:5" s="123" customFormat="1" ht="15" x14ac:dyDescent="0.25">
      <c r="A10" s="287" t="str">
        <f>'VP P-3C Mission Systems'!A1</f>
        <v>Mission System Groups VP P-3C</v>
      </c>
      <c r="B10" s="340"/>
      <c r="C10" s="542"/>
      <c r="D10" s="125">
        <v>42800</v>
      </c>
      <c r="E10" s="124" t="str">
        <f t="shared" ca="1" si="0"/>
        <v/>
      </c>
    </row>
    <row r="11" spans="1:5" s="123" customFormat="1" ht="15" x14ac:dyDescent="0.25">
      <c r="A11" s="287" t="s">
        <v>4</v>
      </c>
      <c r="B11" s="340"/>
      <c r="C11" s="542"/>
      <c r="D11" s="127"/>
      <c r="E11" s="124" t="str">
        <f t="shared" ca="1" si="0"/>
        <v/>
      </c>
    </row>
    <row r="12" spans="1:5" s="123" customFormat="1" ht="15" x14ac:dyDescent="0.25">
      <c r="A12" s="126"/>
      <c r="B12" s="340"/>
      <c r="C12" s="542"/>
      <c r="D12" s="127"/>
      <c r="E12" s="124" t="str">
        <f t="shared" ca="1" si="0"/>
        <v/>
      </c>
    </row>
    <row r="13" spans="1:5" s="123" customFormat="1" ht="15" x14ac:dyDescent="0.25">
      <c r="A13" s="126"/>
      <c r="B13" s="340"/>
      <c r="C13" s="542"/>
      <c r="D13" s="127"/>
      <c r="E13" s="124" t="str">
        <f t="shared" ca="1" si="0"/>
        <v/>
      </c>
    </row>
    <row r="14" spans="1:5" s="123" customFormat="1" ht="15" x14ac:dyDescent="0.25">
      <c r="A14" s="126"/>
      <c r="B14" s="340"/>
      <c r="C14" s="542"/>
      <c r="D14" s="127"/>
      <c r="E14" s="124" t="str">
        <f t="shared" ca="1" si="0"/>
        <v/>
      </c>
    </row>
    <row r="15" spans="1:5" s="123" customFormat="1" ht="15.75" thickBot="1" x14ac:dyDescent="0.3">
      <c r="A15" s="547"/>
      <c r="B15" s="548"/>
      <c r="C15" s="553"/>
      <c r="D15" s="549"/>
      <c r="E15" s="124" t="str">
        <f t="shared" ca="1" si="0"/>
        <v/>
      </c>
    </row>
    <row r="16" spans="1:5" s="123" customFormat="1" ht="15" x14ac:dyDescent="0.25">
      <c r="A16" s="550" t="s">
        <v>5</v>
      </c>
      <c r="B16" s="551"/>
      <c r="C16" s="555"/>
      <c r="D16" s="552" t="s">
        <v>6</v>
      </c>
      <c r="E16" s="124"/>
    </row>
    <row r="17" spans="1:4" s="123" customFormat="1" ht="15" x14ac:dyDescent="0.25">
      <c r="A17" s="126"/>
      <c r="B17" s="542"/>
      <c r="C17" s="556"/>
      <c r="D17" s="127"/>
    </row>
    <row r="18" spans="1:4" s="123" customFormat="1" ht="15" x14ac:dyDescent="0.25">
      <c r="A18" s="126"/>
      <c r="B18" s="542"/>
      <c r="C18" s="556"/>
      <c r="D18" s="127"/>
    </row>
    <row r="19" spans="1:4" s="123" customFormat="1" ht="15.75" thickBot="1" x14ac:dyDescent="0.3">
      <c r="A19" s="128"/>
      <c r="B19" s="553"/>
      <c r="C19" s="557"/>
      <c r="D19" s="129"/>
    </row>
    <row r="20" spans="1:4" s="123" customFormat="1" ht="15" x14ac:dyDescent="0.25"/>
    <row r="21" spans="1:4" s="123" customFormat="1" ht="15" x14ac:dyDescent="0.25">
      <c r="A21" s="130" t="s">
        <v>7</v>
      </c>
      <c r="B21" s="130"/>
      <c r="C21" s="130"/>
    </row>
  </sheetData>
  <mergeCells count="1">
    <mergeCell ref="A1:B1"/>
  </mergeCells>
  <hyperlinks>
    <hyperlink ref="A2" location="'P-8A Standard (U)'!A1" display="'P-8A Standard (U)'!A1" xr:uid="{00000000-0004-0000-0000-000000000000}"/>
    <hyperlink ref="A6" location="'VP P-3C Reduced Matrix'!A1" display="'VP P-3C Reduced Matrix'!A1" xr:uid="{00000000-0004-0000-0000-000001000000}"/>
    <hyperlink ref="B2" location="'P-8A Standard (U)'!A134" display="AMFOM" xr:uid="{00000000-0004-0000-0000-000002000000}"/>
    <hyperlink ref="A7" location="'VP P-8A Reduced Matrix'!A1" display="'VP P-8A Reduced Matrix'!A1" xr:uid="{00000000-0004-0000-0000-000003000000}"/>
    <hyperlink ref="A10" location="'VP P-3C Mission Systems'!A1" display="'VP P-3C Mission Systems'!A1" xr:uid="{00000000-0004-0000-0000-000004000000}"/>
    <hyperlink ref="A9" location="'VP P-8A Mission Systems'!A1" display="'VP P-8A Mission Systems'!A1" xr:uid="{00000000-0004-0000-0000-000005000000}"/>
    <hyperlink ref="A3" location="'P3C FRU (Reserve) Standard (U) '!A1" display="'P3C FRU (Reserve) Standard (U) '!A1" xr:uid="{00000000-0004-0000-0000-000006000000}"/>
    <hyperlink ref="B3" location="'P3C FRU (Reserve) Standard (U) '!A180" display="AMFOM" xr:uid="{00000000-0004-0000-0000-000007000000}"/>
    <hyperlink ref="A11" location="Definitions!A1" display="Definitions" xr:uid="{00000000-0004-0000-0000-000008000000}"/>
    <hyperlink ref="A4" location="'VP FRS'!A1" display="'VP FRS'!A1" xr:uid="{00000000-0004-0000-0000-000009000000}"/>
    <hyperlink ref="A8" location="'P-8A Mission System Summary'!A1" display="'P-8A Mission System Summary'!A1" xr:uid="{00000000-0004-0000-0000-00000A000000}"/>
    <hyperlink ref="A5" location="'VP PDAA'!A1" display="'VP PDAA'!A1" xr:uid="{00000000-0004-0000-0000-00000B000000}"/>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5"/>
  <sheetViews>
    <sheetView showGridLines="0" topLeftCell="A9" workbookViewId="0">
      <selection activeCell="D27" sqref="D27"/>
    </sheetView>
  </sheetViews>
  <sheetFormatPr defaultColWidth="97.5703125" defaultRowHeight="15" x14ac:dyDescent="0.25"/>
  <cols>
    <col min="1" max="1" width="9.7109375" style="325" bestFit="1" customWidth="1"/>
    <col min="2" max="2" width="23" style="123" bestFit="1" customWidth="1"/>
    <col min="3" max="3" width="97.42578125" style="316" bestFit="1" customWidth="1"/>
    <col min="4" max="16384" width="97.5703125" style="123"/>
  </cols>
  <sheetData>
    <row r="1" spans="1:3" x14ac:dyDescent="0.25">
      <c r="A1" s="131" t="s">
        <v>8</v>
      </c>
      <c r="B1" s="131" t="s">
        <v>9</v>
      </c>
      <c r="C1" s="315" t="s">
        <v>10</v>
      </c>
    </row>
    <row r="2" spans="1:3" s="318" customFormat="1" x14ac:dyDescent="0.2">
      <c r="A2" s="323">
        <v>41306</v>
      </c>
      <c r="B2" s="619" t="s">
        <v>11</v>
      </c>
      <c r="C2" s="317" t="s">
        <v>12</v>
      </c>
    </row>
    <row r="3" spans="1:3" s="318" customFormat="1" x14ac:dyDescent="0.2">
      <c r="A3" s="323">
        <v>41306</v>
      </c>
      <c r="B3" s="322" t="s">
        <v>13</v>
      </c>
      <c r="C3" s="319" t="s">
        <v>14</v>
      </c>
    </row>
    <row r="4" spans="1:3" s="318" customFormat="1" x14ac:dyDescent="0.2">
      <c r="A4" s="320">
        <v>41426</v>
      </c>
      <c r="B4" s="620" t="s">
        <v>15</v>
      </c>
      <c r="C4" s="319" t="s">
        <v>16</v>
      </c>
    </row>
    <row r="5" spans="1:3" s="318" customFormat="1" x14ac:dyDescent="0.2">
      <c r="A5" s="320">
        <v>41426</v>
      </c>
      <c r="B5" s="620" t="s">
        <v>15</v>
      </c>
      <c r="C5" s="321" t="s">
        <v>17</v>
      </c>
    </row>
    <row r="6" spans="1:3" s="318" customFormat="1" x14ac:dyDescent="0.2">
      <c r="A6" s="320">
        <v>41548</v>
      </c>
      <c r="B6" s="322" t="s">
        <v>13</v>
      </c>
      <c r="C6" s="319" t="s">
        <v>18</v>
      </c>
    </row>
    <row r="7" spans="1:3" s="318" customFormat="1" x14ac:dyDescent="0.2">
      <c r="A7" s="320">
        <v>41548</v>
      </c>
      <c r="B7" s="322" t="s">
        <v>11</v>
      </c>
      <c r="C7" s="319" t="s">
        <v>18</v>
      </c>
    </row>
    <row r="8" spans="1:3" s="318" customFormat="1" ht="30" x14ac:dyDescent="0.2">
      <c r="A8" s="320">
        <v>41548</v>
      </c>
      <c r="B8" s="322" t="s">
        <v>13</v>
      </c>
      <c r="C8" s="319" t="s">
        <v>19</v>
      </c>
    </row>
    <row r="9" spans="1:3" s="318" customFormat="1" x14ac:dyDescent="0.2">
      <c r="A9" s="320">
        <v>41913</v>
      </c>
      <c r="B9" s="322" t="s">
        <v>13</v>
      </c>
      <c r="C9" s="319" t="s">
        <v>18</v>
      </c>
    </row>
    <row r="10" spans="1:3" s="318" customFormat="1" x14ac:dyDescent="0.2">
      <c r="A10" s="320">
        <v>41913</v>
      </c>
      <c r="B10" s="322" t="s">
        <v>11</v>
      </c>
      <c r="C10" s="319" t="s">
        <v>18</v>
      </c>
    </row>
    <row r="11" spans="1:3" s="318" customFormat="1" x14ac:dyDescent="0.2">
      <c r="A11" s="320">
        <v>42278</v>
      </c>
      <c r="B11" s="322" t="s">
        <v>13</v>
      </c>
      <c r="C11" s="319" t="s">
        <v>18</v>
      </c>
    </row>
    <row r="12" spans="1:3" s="318" customFormat="1" x14ac:dyDescent="0.2">
      <c r="A12" s="320">
        <v>42278</v>
      </c>
      <c r="B12" s="322" t="s">
        <v>11</v>
      </c>
      <c r="C12" s="319" t="s">
        <v>18</v>
      </c>
    </row>
    <row r="13" spans="1:3" s="318" customFormat="1" x14ac:dyDescent="0.2">
      <c r="A13" s="320">
        <v>42644</v>
      </c>
      <c r="B13" s="322" t="s">
        <v>13</v>
      </c>
      <c r="C13" s="319" t="s">
        <v>18</v>
      </c>
    </row>
    <row r="14" spans="1:3" x14ac:dyDescent="0.25">
      <c r="A14" s="320">
        <v>42644</v>
      </c>
      <c r="B14" s="322" t="s">
        <v>11</v>
      </c>
      <c r="C14" s="319" t="s">
        <v>18</v>
      </c>
    </row>
    <row r="15" spans="1:3" x14ac:dyDescent="0.25">
      <c r="A15" s="454">
        <v>42954</v>
      </c>
      <c r="B15" s="322" t="s">
        <v>13</v>
      </c>
      <c r="C15" s="319" t="s">
        <v>20</v>
      </c>
    </row>
    <row r="16" spans="1:3" x14ac:dyDescent="0.25">
      <c r="A16" s="454">
        <v>42954</v>
      </c>
      <c r="B16" s="322" t="s">
        <v>11</v>
      </c>
      <c r="C16" s="319" t="s">
        <v>21</v>
      </c>
    </row>
    <row r="17" spans="1:3" x14ac:dyDescent="0.25">
      <c r="A17" s="454">
        <v>42954</v>
      </c>
      <c r="B17" s="322" t="s">
        <v>11</v>
      </c>
      <c r="C17" s="319" t="s">
        <v>22</v>
      </c>
    </row>
    <row r="18" spans="1:3" x14ac:dyDescent="0.25">
      <c r="A18" s="454">
        <v>42954</v>
      </c>
      <c r="B18" s="322" t="s">
        <v>15</v>
      </c>
      <c r="C18" s="319" t="s">
        <v>23</v>
      </c>
    </row>
    <row r="19" spans="1:3" x14ac:dyDescent="0.25">
      <c r="A19" s="320">
        <v>43009</v>
      </c>
      <c r="B19" s="322" t="s">
        <v>24</v>
      </c>
      <c r="C19" s="319" t="s">
        <v>25</v>
      </c>
    </row>
    <row r="20" spans="1:3" x14ac:dyDescent="0.25">
      <c r="A20" s="320">
        <v>43009</v>
      </c>
      <c r="B20" s="322" t="s">
        <v>26</v>
      </c>
      <c r="C20" s="455" t="s">
        <v>27</v>
      </c>
    </row>
    <row r="21" spans="1:3" x14ac:dyDescent="0.25">
      <c r="A21" s="320">
        <v>43374</v>
      </c>
      <c r="B21" s="322" t="s">
        <v>26</v>
      </c>
      <c r="C21" s="455" t="s">
        <v>27</v>
      </c>
    </row>
    <row r="22" spans="1:3" x14ac:dyDescent="0.25">
      <c r="A22" s="320">
        <v>43435</v>
      </c>
      <c r="B22" s="322" t="s">
        <v>15</v>
      </c>
      <c r="C22" s="455" t="s">
        <v>28</v>
      </c>
    </row>
    <row r="23" spans="1:3" x14ac:dyDescent="0.25">
      <c r="A23" s="543">
        <v>43435</v>
      </c>
      <c r="B23" s="621" t="s">
        <v>15</v>
      </c>
      <c r="C23" s="542" t="s">
        <v>29</v>
      </c>
    </row>
    <row r="24" spans="1:3" x14ac:dyDescent="0.25">
      <c r="A24" s="543">
        <v>43435</v>
      </c>
      <c r="B24" s="621" t="s">
        <v>15</v>
      </c>
      <c r="C24" s="542" t="s">
        <v>30</v>
      </c>
    </row>
    <row r="25" spans="1:3" x14ac:dyDescent="0.25">
      <c r="A25" s="544">
        <v>43435</v>
      </c>
      <c r="B25" s="622" t="s">
        <v>31</v>
      </c>
      <c r="C25" s="504" t="s">
        <v>32</v>
      </c>
    </row>
    <row r="26" spans="1:3" x14ac:dyDescent="0.25">
      <c r="A26" s="543">
        <v>43435</v>
      </c>
      <c r="B26" s="622" t="s">
        <v>15</v>
      </c>
      <c r="C26" s="504" t="s">
        <v>33</v>
      </c>
    </row>
    <row r="27" spans="1:3" x14ac:dyDescent="0.25">
      <c r="A27" s="543">
        <v>43435</v>
      </c>
      <c r="B27" s="622" t="s">
        <v>34</v>
      </c>
      <c r="C27" s="504" t="s">
        <v>35</v>
      </c>
    </row>
    <row r="28" spans="1:3" x14ac:dyDescent="0.25">
      <c r="A28" s="320">
        <v>43952</v>
      </c>
      <c r="B28" s="621" t="s">
        <v>36</v>
      </c>
      <c r="C28" s="455" t="s">
        <v>6</v>
      </c>
    </row>
    <row r="29" spans="1:3" x14ac:dyDescent="0.25">
      <c r="A29" s="320">
        <v>44197</v>
      </c>
      <c r="B29" s="621" t="s">
        <v>37</v>
      </c>
      <c r="C29" s="455" t="s">
        <v>38</v>
      </c>
    </row>
    <row r="30" spans="1:3" x14ac:dyDescent="0.25">
      <c r="A30" s="543">
        <v>44835</v>
      </c>
      <c r="B30" s="621" t="s">
        <v>15</v>
      </c>
      <c r="C30" s="455" t="s">
        <v>39</v>
      </c>
    </row>
    <row r="31" spans="1:3" x14ac:dyDescent="0.25">
      <c r="A31" s="320">
        <v>44835</v>
      </c>
      <c r="B31" s="322" t="s">
        <v>15</v>
      </c>
      <c r="C31" s="455" t="s">
        <v>40</v>
      </c>
    </row>
    <row r="32" spans="1:3" x14ac:dyDescent="0.25">
      <c r="A32" s="324"/>
      <c r="B32" s="621"/>
      <c r="C32" s="455"/>
    </row>
    <row r="33" spans="1:3" x14ac:dyDescent="0.25">
      <c r="A33" s="324"/>
      <c r="B33" s="621"/>
      <c r="C33" s="455"/>
    </row>
    <row r="34" spans="1:3" x14ac:dyDescent="0.25">
      <c r="A34" s="324"/>
      <c r="B34" s="621"/>
      <c r="C34" s="455"/>
    </row>
    <row r="35" spans="1:3" x14ac:dyDescent="0.25">
      <c r="A35" s="324"/>
      <c r="B35" s="621"/>
      <c r="C35" s="455"/>
    </row>
  </sheetData>
  <pageMargins left="0.75" right="0.75" top="1" bottom="1" header="0.5" footer="0.5"/>
  <pageSetup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L183"/>
  <sheetViews>
    <sheetView showGridLines="0" topLeftCell="A121" zoomScaleNormal="100" workbookViewId="0">
      <selection activeCell="A136" sqref="A136:A137"/>
    </sheetView>
  </sheetViews>
  <sheetFormatPr defaultColWidth="9.140625" defaultRowHeight="8.25" x14ac:dyDescent="0.15"/>
  <cols>
    <col min="1" max="1" width="40.7109375" style="231" customWidth="1"/>
    <col min="2" max="22" width="6.42578125" style="166" customWidth="1"/>
    <col min="23" max="23" width="8.42578125" style="166" bestFit="1" customWidth="1"/>
    <col min="24" max="27" width="6.42578125" style="166" customWidth="1"/>
    <col min="28" max="16384" width="9.140625" style="166"/>
  </cols>
  <sheetData>
    <row r="1" spans="1:25" s="57" customFormat="1" ht="18.75" x14ac:dyDescent="0.3">
      <c r="A1" s="662" t="s">
        <v>41</v>
      </c>
      <c r="B1" s="662"/>
      <c r="C1" s="168"/>
      <c r="D1" s="195"/>
      <c r="F1" s="163"/>
      <c r="G1" s="163" t="s">
        <v>42</v>
      </c>
      <c r="H1" s="665">
        <v>44835</v>
      </c>
      <c r="I1" s="665"/>
      <c r="J1" s="665"/>
      <c r="K1" s="665"/>
      <c r="L1" s="648"/>
      <c r="M1" s="196"/>
      <c r="N1" s="195"/>
      <c r="P1" s="178"/>
      <c r="S1" s="170"/>
      <c r="T1" s="170"/>
      <c r="U1" s="170"/>
      <c r="V1" s="558" t="s">
        <v>43</v>
      </c>
      <c r="W1" s="559">
        <v>13.01</v>
      </c>
    </row>
    <row r="2" spans="1:25" s="57" customFormat="1" ht="12" x14ac:dyDescent="0.2">
      <c r="A2" s="56" t="s">
        <v>44</v>
      </c>
      <c r="B2" s="171">
        <v>7</v>
      </c>
      <c r="C2" s="197">
        <v>7</v>
      </c>
      <c r="D2" s="198" t="s">
        <v>45</v>
      </c>
      <c r="F2" s="60"/>
      <c r="G2" s="61"/>
      <c r="H2" s="341" t="s">
        <v>46</v>
      </c>
      <c r="I2" s="168"/>
      <c r="J2" s="169"/>
      <c r="K2" s="56"/>
      <c r="L2" s="421"/>
      <c r="M2" s="198"/>
      <c r="O2" s="56"/>
      <c r="P2" s="61"/>
      <c r="R2" s="61"/>
      <c r="S2" s="170"/>
      <c r="T2" s="170"/>
      <c r="U2" s="170"/>
      <c r="V2" s="170"/>
      <c r="X2" s="61"/>
      <c r="Y2" s="61"/>
    </row>
    <row r="3" spans="1:25" s="57" customFormat="1" ht="12.75" x14ac:dyDescent="0.2">
      <c r="A3" s="56" t="s">
        <v>47</v>
      </c>
      <c r="B3" s="199">
        <f>B4/B2</f>
        <v>1.7142857142857142</v>
      </c>
      <c r="C3" s="171">
        <v>7</v>
      </c>
      <c r="D3" s="61" t="s">
        <v>48</v>
      </c>
      <c r="F3" s="61"/>
      <c r="G3" s="61"/>
      <c r="H3" s="457" t="s">
        <v>3</v>
      </c>
      <c r="I3" s="168"/>
      <c r="J3" s="168"/>
      <c r="K3" s="168"/>
      <c r="L3" s="168"/>
      <c r="M3" s="168"/>
      <c r="O3" s="56"/>
      <c r="Q3" s="61"/>
      <c r="R3" s="61"/>
      <c r="S3" s="61"/>
      <c r="T3" s="61"/>
      <c r="U3" s="61"/>
      <c r="V3" s="61"/>
      <c r="W3" s="61"/>
      <c r="X3" s="61"/>
      <c r="Y3" s="61"/>
    </row>
    <row r="4" spans="1:25" s="57" customFormat="1" ht="11.25" x14ac:dyDescent="0.2">
      <c r="A4" s="56" t="s">
        <v>49</v>
      </c>
      <c r="B4" s="62">
        <v>12</v>
      </c>
      <c r="C4" s="61"/>
      <c r="D4" s="61"/>
      <c r="E4" s="61"/>
      <c r="F4" s="61"/>
      <c r="G4" s="61"/>
      <c r="H4" s="168"/>
      <c r="I4" s="168"/>
      <c r="J4" s="168"/>
      <c r="K4" s="663"/>
      <c r="L4" s="663"/>
      <c r="M4" s="663"/>
      <c r="O4" s="56"/>
      <c r="R4" s="61"/>
      <c r="S4" s="61"/>
      <c r="T4" s="61"/>
      <c r="U4" s="61"/>
      <c r="V4" s="61"/>
      <c r="W4" s="61"/>
      <c r="X4" s="61"/>
      <c r="Y4" s="61"/>
    </row>
    <row r="5" spans="1:25" s="57" customFormat="1" ht="11.25" x14ac:dyDescent="0.2">
      <c r="A5" s="56" t="s">
        <v>50</v>
      </c>
      <c r="B5" s="61">
        <v>5</v>
      </c>
      <c r="C5" s="61"/>
      <c r="D5" s="63"/>
      <c r="H5" s="168"/>
      <c r="I5" s="169"/>
      <c r="J5" s="172"/>
      <c r="K5" s="663"/>
      <c r="L5" s="663"/>
      <c r="M5" s="663"/>
      <c r="O5" s="56"/>
      <c r="R5" s="61"/>
      <c r="S5" s="61"/>
      <c r="T5" s="61"/>
      <c r="U5" s="61"/>
      <c r="V5" s="61"/>
      <c r="W5" s="61"/>
      <c r="X5" s="61"/>
      <c r="Y5" s="61"/>
    </row>
    <row r="6" spans="1:25" s="57" customFormat="1" ht="11.25" x14ac:dyDescent="0.2">
      <c r="A6" s="56" t="s">
        <v>51</v>
      </c>
      <c r="B6" s="61">
        <v>41.4</v>
      </c>
      <c r="D6" s="200"/>
      <c r="E6" s="61"/>
      <c r="F6" s="61"/>
      <c r="G6" s="61"/>
      <c r="H6" s="171"/>
      <c r="I6" s="168"/>
      <c r="J6" s="168"/>
      <c r="K6" s="173"/>
      <c r="L6" s="174"/>
      <c r="M6" s="168"/>
      <c r="O6" s="56"/>
      <c r="Q6" s="61"/>
      <c r="R6" s="61"/>
      <c r="S6" s="61"/>
      <c r="T6" s="61"/>
      <c r="U6" s="61"/>
      <c r="V6" s="61"/>
      <c r="W6" s="61"/>
      <c r="X6" s="61"/>
      <c r="Y6" s="61"/>
    </row>
    <row r="7" spans="1:25" s="57" customFormat="1" ht="11.25" x14ac:dyDescent="0.2">
      <c r="A7" s="56" t="s">
        <v>52</v>
      </c>
      <c r="B7" s="61">
        <f>B6*B4</f>
        <v>496.79999999999995</v>
      </c>
      <c r="E7" s="61"/>
      <c r="F7" s="61"/>
      <c r="G7" s="61"/>
      <c r="H7" s="171"/>
      <c r="I7" s="171"/>
      <c r="J7" s="171"/>
      <c r="K7" s="175"/>
      <c r="L7" s="175"/>
      <c r="M7" s="176"/>
      <c r="N7" s="61"/>
      <c r="O7" s="201"/>
      <c r="P7" s="61"/>
      <c r="Q7" s="61"/>
      <c r="R7" s="61"/>
      <c r="S7" s="61"/>
      <c r="T7" s="61"/>
      <c r="U7" s="61"/>
      <c r="V7" s="61"/>
      <c r="W7" s="61"/>
      <c r="X7" s="61"/>
      <c r="Y7" s="61"/>
    </row>
    <row r="8" spans="1:25" s="57" customFormat="1" ht="11.25" x14ac:dyDescent="0.2">
      <c r="A8" s="197" t="s">
        <v>53</v>
      </c>
      <c r="B8" s="62">
        <f>B7/B5</f>
        <v>99.359999999999985</v>
      </c>
      <c r="E8" s="61"/>
      <c r="F8" s="61"/>
      <c r="G8" s="61"/>
      <c r="H8" s="664"/>
      <c r="I8" s="664"/>
      <c r="J8" s="664"/>
      <c r="K8" s="664"/>
      <c r="L8" s="664"/>
      <c r="M8" s="664"/>
      <c r="N8" s="177"/>
      <c r="P8" s="177"/>
      <c r="Q8" s="177"/>
      <c r="R8" s="177"/>
      <c r="S8" s="177"/>
      <c r="T8" s="177"/>
      <c r="U8" s="61"/>
      <c r="V8" s="61"/>
      <c r="W8" s="61"/>
      <c r="X8" s="61"/>
      <c r="Y8" s="61"/>
    </row>
    <row r="9" spans="1:25" s="57" customFormat="1" ht="11.25" x14ac:dyDescent="0.2">
      <c r="A9" s="56" t="s">
        <v>54</v>
      </c>
      <c r="B9" s="57">
        <f>C9*B4</f>
        <v>12</v>
      </c>
      <c r="C9" s="61">
        <v>1</v>
      </c>
      <c r="D9" s="61" t="s">
        <v>55</v>
      </c>
      <c r="E9" s="61"/>
      <c r="F9" s="61"/>
      <c r="G9" s="202" t="s">
        <v>56</v>
      </c>
      <c r="H9" s="203">
        <v>0.4</v>
      </c>
      <c r="I9" s="649"/>
      <c r="J9" s="649"/>
      <c r="K9" s="649"/>
      <c r="L9" s="649"/>
      <c r="M9" s="649"/>
      <c r="N9" s="649"/>
      <c r="O9" s="197"/>
      <c r="P9" s="649"/>
      <c r="Q9" s="649"/>
      <c r="R9" s="649"/>
      <c r="S9" s="649"/>
      <c r="T9" s="649"/>
      <c r="U9" s="61"/>
      <c r="V9" s="61"/>
      <c r="W9" s="61"/>
      <c r="X9" s="61"/>
      <c r="Y9" s="61"/>
    </row>
    <row r="10" spans="1:25" s="57" customFormat="1" ht="11.25" x14ac:dyDescent="0.2">
      <c r="A10" s="56" t="s">
        <v>57</v>
      </c>
      <c r="B10" s="57">
        <f>C10*B4</f>
        <v>106.80000000000001</v>
      </c>
      <c r="C10" s="61">
        <v>8.9</v>
      </c>
      <c r="D10" s="61" t="s">
        <v>55</v>
      </c>
      <c r="E10" s="61"/>
      <c r="F10" s="61"/>
      <c r="G10" s="204" t="s">
        <v>58</v>
      </c>
      <c r="H10" s="422">
        <v>0.69599999999999995</v>
      </c>
      <c r="I10" s="649"/>
      <c r="J10" s="649"/>
      <c r="K10" s="649"/>
      <c r="L10" s="649"/>
      <c r="M10" s="649"/>
      <c r="N10" s="649"/>
      <c r="O10" s="197"/>
      <c r="P10" s="649"/>
      <c r="Q10" s="649"/>
      <c r="R10" s="649"/>
      <c r="S10" s="649"/>
      <c r="T10" s="649"/>
      <c r="U10" s="61"/>
      <c r="V10" s="171"/>
      <c r="W10" s="61"/>
      <c r="X10" s="61"/>
      <c r="Y10" s="61"/>
    </row>
    <row r="11" spans="1:25" s="57" customFormat="1" ht="11.25" x14ac:dyDescent="0.2">
      <c r="A11" s="298" t="s">
        <v>59</v>
      </c>
      <c r="B11" s="232">
        <f>C11*B4</f>
        <v>384</v>
      </c>
      <c r="C11" s="299">
        <v>32</v>
      </c>
      <c r="D11" s="300" t="s">
        <v>55</v>
      </c>
      <c r="E11" s="61"/>
      <c r="F11" s="61"/>
      <c r="G11" s="61"/>
      <c r="H11" s="649"/>
      <c r="I11" s="649"/>
      <c r="J11" s="649"/>
      <c r="K11" s="649"/>
      <c r="L11" s="649"/>
      <c r="M11" s="649"/>
      <c r="N11" s="649"/>
      <c r="O11" s="649"/>
      <c r="P11" s="649"/>
      <c r="Q11" s="649"/>
      <c r="R11" s="649"/>
      <c r="S11" s="649"/>
      <c r="T11" s="649"/>
      <c r="U11" s="61"/>
      <c r="V11" s="171"/>
      <c r="W11" s="61"/>
      <c r="X11" s="61"/>
      <c r="Y11" s="61"/>
    </row>
    <row r="12" spans="1:25" s="57" customFormat="1" ht="11.25" x14ac:dyDescent="0.2">
      <c r="A12" s="56"/>
      <c r="C12" s="61"/>
      <c r="D12" s="205"/>
      <c r="E12" s="61"/>
      <c r="F12" s="61"/>
      <c r="G12" s="61"/>
      <c r="H12" s="649"/>
      <c r="I12" s="649"/>
      <c r="J12" s="649"/>
      <c r="K12" s="649"/>
      <c r="L12" s="649"/>
      <c r="M12" s="649"/>
      <c r="N12" s="649"/>
      <c r="O12" s="649"/>
      <c r="P12" s="649"/>
      <c r="Q12" s="649"/>
      <c r="R12" s="649"/>
      <c r="S12" s="649"/>
      <c r="T12" s="649"/>
      <c r="U12" s="61"/>
      <c r="V12" s="171"/>
      <c r="W12" s="61"/>
      <c r="X12" s="61"/>
      <c r="Y12" s="61"/>
    </row>
    <row r="13" spans="1:25" s="75" customFormat="1" ht="58.5" x14ac:dyDescent="0.2">
      <c r="A13" s="71" t="s">
        <v>60</v>
      </c>
      <c r="B13" s="72" t="s">
        <v>61</v>
      </c>
      <c r="C13" s="72" t="s">
        <v>61</v>
      </c>
      <c r="D13" s="72" t="s">
        <v>61</v>
      </c>
      <c r="E13" s="72" t="s">
        <v>61</v>
      </c>
      <c r="F13" s="72" t="s">
        <v>61</v>
      </c>
      <c r="G13" s="72" t="s">
        <v>61</v>
      </c>
      <c r="H13" s="72" t="s">
        <v>62</v>
      </c>
      <c r="I13" s="72" t="s">
        <v>62</v>
      </c>
      <c r="J13" s="72" t="s">
        <v>62</v>
      </c>
      <c r="K13" s="72" t="s">
        <v>62</v>
      </c>
      <c r="L13" s="72" t="s">
        <v>62</v>
      </c>
      <c r="M13" s="72" t="s">
        <v>62</v>
      </c>
      <c r="N13" s="73" t="s">
        <v>63</v>
      </c>
      <c r="O13" s="73" t="s">
        <v>63</v>
      </c>
      <c r="P13" s="73" t="s">
        <v>63</v>
      </c>
      <c r="Q13" s="73" t="s">
        <v>63</v>
      </c>
      <c r="R13" s="73" t="s">
        <v>63</v>
      </c>
      <c r="S13" s="72" t="s">
        <v>63</v>
      </c>
      <c r="T13" s="477" t="s">
        <v>64</v>
      </c>
      <c r="U13" s="74"/>
      <c r="V13" s="93"/>
    </row>
    <row r="14" spans="1:25" s="75" customFormat="1" ht="12" x14ac:dyDescent="0.2">
      <c r="A14" s="71" t="s">
        <v>65</v>
      </c>
      <c r="B14" s="79" t="s">
        <v>66</v>
      </c>
      <c r="C14" s="79" t="s">
        <v>67</v>
      </c>
      <c r="D14" s="79" t="s">
        <v>68</v>
      </c>
      <c r="E14" s="79" t="s">
        <v>69</v>
      </c>
      <c r="F14" s="79" t="s">
        <v>70</v>
      </c>
      <c r="G14" s="79" t="s">
        <v>71</v>
      </c>
      <c r="H14" s="79" t="s">
        <v>72</v>
      </c>
      <c r="I14" s="79" t="s">
        <v>73</v>
      </c>
      <c r="J14" s="79" t="s">
        <v>74</v>
      </c>
      <c r="K14" s="79" t="s">
        <v>75</v>
      </c>
      <c r="L14" s="79" t="s">
        <v>76</v>
      </c>
      <c r="M14" s="79" t="s">
        <v>77</v>
      </c>
      <c r="N14" s="77" t="s">
        <v>78</v>
      </c>
      <c r="O14" s="77" t="s">
        <v>79</v>
      </c>
      <c r="P14" s="77" t="s">
        <v>80</v>
      </c>
      <c r="Q14" s="77" t="s">
        <v>81</v>
      </c>
      <c r="R14" s="77" t="s">
        <v>82</v>
      </c>
      <c r="S14" s="650" t="s">
        <v>83</v>
      </c>
      <c r="T14" s="478" t="s">
        <v>84</v>
      </c>
      <c r="U14" s="78"/>
      <c r="V14" s="93"/>
    </row>
    <row r="15" spans="1:25" s="75" customFormat="1" ht="12" x14ac:dyDescent="0.2">
      <c r="A15" s="71" t="s">
        <v>85</v>
      </c>
      <c r="B15" s="79">
        <v>1</v>
      </c>
      <c r="C15" s="79">
        <v>2</v>
      </c>
      <c r="D15" s="79">
        <v>3</v>
      </c>
      <c r="E15" s="79">
        <v>4</v>
      </c>
      <c r="F15" s="79">
        <v>5</v>
      </c>
      <c r="G15" s="79">
        <v>6</v>
      </c>
      <c r="H15" s="79">
        <v>7</v>
      </c>
      <c r="I15" s="79">
        <v>8</v>
      </c>
      <c r="J15" s="79">
        <v>9</v>
      </c>
      <c r="K15" s="79">
        <v>10</v>
      </c>
      <c r="L15" s="79">
        <v>11</v>
      </c>
      <c r="M15" s="79">
        <v>12</v>
      </c>
      <c r="N15" s="79">
        <v>19</v>
      </c>
      <c r="O15" s="79">
        <v>20</v>
      </c>
      <c r="P15" s="79">
        <v>21</v>
      </c>
      <c r="Q15" s="79">
        <v>22</v>
      </c>
      <c r="R15" s="79">
        <v>23</v>
      </c>
      <c r="S15" s="186">
        <v>24</v>
      </c>
      <c r="T15" s="478">
        <v>28</v>
      </c>
      <c r="U15" s="78"/>
      <c r="V15" s="93"/>
    </row>
    <row r="16" spans="1:25" s="65" customFormat="1" ht="12" x14ac:dyDescent="0.2">
      <c r="A16" s="71" t="s">
        <v>86</v>
      </c>
      <c r="B16" s="678" t="s">
        <v>87</v>
      </c>
      <c r="C16" s="672"/>
      <c r="D16" s="672"/>
      <c r="E16" s="672"/>
      <c r="F16" s="672"/>
      <c r="G16" s="679"/>
      <c r="H16" s="678" t="s">
        <v>88</v>
      </c>
      <c r="I16" s="672"/>
      <c r="J16" s="672"/>
      <c r="K16" s="672"/>
      <c r="L16" s="672"/>
      <c r="M16" s="679"/>
      <c r="N16" s="672" t="s">
        <v>63</v>
      </c>
      <c r="O16" s="672"/>
      <c r="P16" s="672"/>
      <c r="Q16" s="672"/>
      <c r="R16" s="672"/>
      <c r="S16" s="672"/>
      <c r="T16" s="478" t="s">
        <v>89</v>
      </c>
      <c r="U16" s="80"/>
      <c r="V16" s="93"/>
    </row>
    <row r="17" spans="1:23" s="65" customFormat="1" ht="12.75" x14ac:dyDescent="0.2">
      <c r="A17" s="206" t="s">
        <v>90</v>
      </c>
      <c r="B17" s="650"/>
      <c r="C17" s="651"/>
      <c r="D17" s="651"/>
      <c r="E17" s="651"/>
      <c r="F17" s="651"/>
      <c r="G17" s="651"/>
      <c r="H17" s="651"/>
      <c r="I17" s="651"/>
      <c r="J17" s="651"/>
      <c r="K17" s="651"/>
      <c r="L17" s="651"/>
      <c r="M17" s="651"/>
      <c r="N17" s="651"/>
      <c r="O17" s="651"/>
      <c r="P17" s="651"/>
      <c r="Q17" s="651"/>
      <c r="R17" s="651"/>
      <c r="S17" s="651"/>
      <c r="T17" s="77"/>
      <c r="U17" s="82"/>
      <c r="V17" s="207"/>
    </row>
    <row r="18" spans="1:23" s="65" customFormat="1" ht="12" x14ac:dyDescent="0.2">
      <c r="A18" s="208" t="s">
        <v>91</v>
      </c>
      <c r="B18" s="209">
        <f t="shared" ref="B18:T18" si="0">IF(B84&lt;80,B85,MIN(B84,80))</f>
        <v>80</v>
      </c>
      <c r="C18" s="209">
        <f t="shared" si="0"/>
        <v>43.675129486964273</v>
      </c>
      <c r="D18" s="209">
        <f t="shared" si="0"/>
        <v>13.773168702650539</v>
      </c>
      <c r="E18" s="209">
        <f t="shared" si="0"/>
        <v>1.0280706634348569</v>
      </c>
      <c r="F18" s="209">
        <f t="shared" si="0"/>
        <v>12.792776545787797</v>
      </c>
      <c r="G18" s="209">
        <f t="shared" si="0"/>
        <v>24.557482428140737</v>
      </c>
      <c r="H18" s="209">
        <f t="shared" si="0"/>
        <v>36.322188310493665</v>
      </c>
      <c r="I18" s="209">
        <f t="shared" si="0"/>
        <v>52.988854977160329</v>
      </c>
      <c r="J18" s="209">
        <f t="shared" si="0"/>
        <v>61.812384388925054</v>
      </c>
      <c r="K18" s="209">
        <f t="shared" si="0"/>
        <v>80</v>
      </c>
      <c r="L18" s="209">
        <f t="shared" si="0"/>
        <v>80</v>
      </c>
      <c r="M18" s="209">
        <f t="shared" si="0"/>
        <v>80</v>
      </c>
      <c r="N18" s="209">
        <f t="shared" si="0"/>
        <v>80</v>
      </c>
      <c r="O18" s="209">
        <f t="shared" si="0"/>
        <v>80</v>
      </c>
      <c r="P18" s="209">
        <f t="shared" si="0"/>
        <v>80</v>
      </c>
      <c r="Q18" s="209">
        <f t="shared" si="0"/>
        <v>80</v>
      </c>
      <c r="R18" s="209">
        <f t="shared" si="0"/>
        <v>80</v>
      </c>
      <c r="S18" s="313">
        <f t="shared" si="0"/>
        <v>80</v>
      </c>
      <c r="T18" s="209">
        <f t="shared" si="0"/>
        <v>1.0280706634348569</v>
      </c>
      <c r="U18" s="85"/>
      <c r="V18" s="210"/>
    </row>
    <row r="19" spans="1:23" s="65" customFormat="1" ht="12" x14ac:dyDescent="0.2">
      <c r="A19" s="211" t="s">
        <v>92</v>
      </c>
      <c r="B19" s="310">
        <v>0.4</v>
      </c>
      <c r="C19" s="310">
        <v>0.5</v>
      </c>
      <c r="D19" s="310">
        <v>0.5</v>
      </c>
      <c r="E19" s="310">
        <v>0.5</v>
      </c>
      <c r="F19" s="310">
        <v>0.5</v>
      </c>
      <c r="G19" s="310">
        <v>0.5</v>
      </c>
      <c r="H19" s="310">
        <v>0.55000000000000004</v>
      </c>
      <c r="I19" s="310">
        <v>0.6</v>
      </c>
      <c r="J19" s="310">
        <v>0.65</v>
      </c>
      <c r="K19" s="310">
        <v>0.7</v>
      </c>
      <c r="L19" s="310">
        <v>0.7</v>
      </c>
      <c r="M19" s="310">
        <v>0.7</v>
      </c>
      <c r="N19" s="310">
        <v>0.8</v>
      </c>
      <c r="O19" s="310">
        <v>0.8</v>
      </c>
      <c r="P19" s="310">
        <v>0.8</v>
      </c>
      <c r="Q19" s="310">
        <v>0.8</v>
      </c>
      <c r="R19" s="310">
        <v>0.8</v>
      </c>
      <c r="S19" s="311">
        <v>0.8</v>
      </c>
      <c r="T19" s="479">
        <v>0.4</v>
      </c>
      <c r="U19" s="295"/>
      <c r="V19" s="212"/>
    </row>
    <row r="20" spans="1:23" s="65" customFormat="1" ht="12" x14ac:dyDescent="0.2">
      <c r="A20" s="301" t="s">
        <v>93</v>
      </c>
      <c r="B20" s="294"/>
      <c r="C20" s="309"/>
      <c r="D20" s="309"/>
      <c r="E20" s="309"/>
      <c r="F20" s="309"/>
      <c r="G20" s="309"/>
      <c r="H20" s="309"/>
      <c r="I20" s="309"/>
      <c r="J20" s="309"/>
      <c r="K20" s="309"/>
      <c r="L20" s="309"/>
      <c r="M20" s="309"/>
      <c r="N20" s="309"/>
      <c r="O20" s="309"/>
      <c r="P20" s="309"/>
      <c r="Q20" s="309"/>
      <c r="R20" s="309"/>
      <c r="S20" s="309"/>
      <c r="T20" s="479"/>
      <c r="U20" s="295"/>
      <c r="V20" s="212"/>
    </row>
    <row r="21" spans="1:23" s="65" customFormat="1" ht="12" x14ac:dyDescent="0.2">
      <c r="A21" s="213" t="s">
        <v>94</v>
      </c>
      <c r="B21" s="312">
        <f>B19*$B$8</f>
        <v>39.744</v>
      </c>
      <c r="C21" s="312">
        <f t="shared" ref="C21:T21" si="1">C19*$B$8</f>
        <v>49.679999999999993</v>
      </c>
      <c r="D21" s="312">
        <f t="shared" si="1"/>
        <v>49.679999999999993</v>
      </c>
      <c r="E21" s="312">
        <f t="shared" si="1"/>
        <v>49.679999999999993</v>
      </c>
      <c r="F21" s="312">
        <f t="shared" si="1"/>
        <v>49.679999999999993</v>
      </c>
      <c r="G21" s="312">
        <f t="shared" si="1"/>
        <v>49.679999999999993</v>
      </c>
      <c r="H21" s="312">
        <f t="shared" si="1"/>
        <v>54.647999999999996</v>
      </c>
      <c r="I21" s="312">
        <f t="shared" si="1"/>
        <v>59.615999999999985</v>
      </c>
      <c r="J21" s="312">
        <f t="shared" si="1"/>
        <v>64.583999999999989</v>
      </c>
      <c r="K21" s="312">
        <f t="shared" si="1"/>
        <v>69.551999999999978</v>
      </c>
      <c r="L21" s="312">
        <f t="shared" si="1"/>
        <v>69.551999999999978</v>
      </c>
      <c r="M21" s="312">
        <f t="shared" si="1"/>
        <v>69.551999999999978</v>
      </c>
      <c r="N21" s="312">
        <f t="shared" si="1"/>
        <v>79.488</v>
      </c>
      <c r="O21" s="312">
        <f t="shared" si="1"/>
        <v>79.488</v>
      </c>
      <c r="P21" s="312">
        <f t="shared" si="1"/>
        <v>79.488</v>
      </c>
      <c r="Q21" s="312">
        <f t="shared" si="1"/>
        <v>79.488</v>
      </c>
      <c r="R21" s="312">
        <f t="shared" si="1"/>
        <v>79.488</v>
      </c>
      <c r="S21" s="487">
        <f t="shared" si="1"/>
        <v>79.488</v>
      </c>
      <c r="T21" s="480">
        <f t="shared" si="1"/>
        <v>39.744</v>
      </c>
      <c r="U21" s="80"/>
      <c r="V21" s="214"/>
    </row>
    <row r="22" spans="1:23" s="65" customFormat="1" ht="12" x14ac:dyDescent="0.2">
      <c r="A22" s="213" t="s">
        <v>95</v>
      </c>
      <c r="B22" s="215">
        <f t="shared" ref="B22:T22" si="2">B21*$B$5</f>
        <v>198.72</v>
      </c>
      <c r="C22" s="215">
        <f t="shared" si="2"/>
        <v>248.39999999999998</v>
      </c>
      <c r="D22" s="215">
        <f t="shared" si="2"/>
        <v>248.39999999999998</v>
      </c>
      <c r="E22" s="215">
        <f t="shared" si="2"/>
        <v>248.39999999999998</v>
      </c>
      <c r="F22" s="215">
        <f t="shared" si="2"/>
        <v>248.39999999999998</v>
      </c>
      <c r="G22" s="215">
        <f t="shared" si="2"/>
        <v>248.39999999999998</v>
      </c>
      <c r="H22" s="215">
        <f t="shared" si="2"/>
        <v>273.24</v>
      </c>
      <c r="I22" s="215">
        <f t="shared" si="2"/>
        <v>298.07999999999993</v>
      </c>
      <c r="J22" s="215">
        <f t="shared" si="2"/>
        <v>322.91999999999996</v>
      </c>
      <c r="K22" s="215">
        <f t="shared" si="2"/>
        <v>347.75999999999988</v>
      </c>
      <c r="L22" s="215">
        <f t="shared" si="2"/>
        <v>347.75999999999988</v>
      </c>
      <c r="M22" s="215">
        <f t="shared" si="2"/>
        <v>347.75999999999988</v>
      </c>
      <c r="N22" s="215">
        <f t="shared" si="2"/>
        <v>397.44</v>
      </c>
      <c r="O22" s="215">
        <f t="shared" si="2"/>
        <v>397.44</v>
      </c>
      <c r="P22" s="215">
        <f t="shared" si="2"/>
        <v>397.44</v>
      </c>
      <c r="Q22" s="215">
        <f t="shared" si="2"/>
        <v>397.44</v>
      </c>
      <c r="R22" s="215">
        <f t="shared" si="2"/>
        <v>397.44</v>
      </c>
      <c r="S22" s="216">
        <f t="shared" si="2"/>
        <v>397.44</v>
      </c>
      <c r="T22" s="215">
        <f t="shared" si="2"/>
        <v>198.72</v>
      </c>
      <c r="U22" s="80"/>
      <c r="V22" s="214"/>
    </row>
    <row r="23" spans="1:23" s="65" customFormat="1" ht="12" x14ac:dyDescent="0.2">
      <c r="A23" s="213" t="s">
        <v>96</v>
      </c>
      <c r="B23" s="217">
        <f>$B$9</f>
        <v>12</v>
      </c>
      <c r="C23" s="217">
        <f t="shared" ref="C23:T23" si="3">$B$9</f>
        <v>12</v>
      </c>
      <c r="D23" s="217">
        <f t="shared" si="3"/>
        <v>12</v>
      </c>
      <c r="E23" s="217">
        <f t="shared" si="3"/>
        <v>12</v>
      </c>
      <c r="F23" s="217">
        <f t="shared" si="3"/>
        <v>12</v>
      </c>
      <c r="G23" s="217">
        <f t="shared" si="3"/>
        <v>12</v>
      </c>
      <c r="H23" s="217">
        <f t="shared" si="3"/>
        <v>12</v>
      </c>
      <c r="I23" s="217">
        <f t="shared" si="3"/>
        <v>12</v>
      </c>
      <c r="J23" s="217">
        <f t="shared" si="3"/>
        <v>12</v>
      </c>
      <c r="K23" s="217">
        <f t="shared" si="3"/>
        <v>12</v>
      </c>
      <c r="L23" s="217">
        <f t="shared" si="3"/>
        <v>12</v>
      </c>
      <c r="M23" s="217">
        <f t="shared" si="3"/>
        <v>12</v>
      </c>
      <c r="N23" s="217">
        <f t="shared" si="3"/>
        <v>12</v>
      </c>
      <c r="O23" s="217">
        <f t="shared" si="3"/>
        <v>12</v>
      </c>
      <c r="P23" s="217">
        <f t="shared" si="3"/>
        <v>12</v>
      </c>
      <c r="Q23" s="217">
        <f t="shared" si="3"/>
        <v>12</v>
      </c>
      <c r="R23" s="217">
        <f t="shared" si="3"/>
        <v>12</v>
      </c>
      <c r="S23" s="218">
        <f t="shared" si="3"/>
        <v>12</v>
      </c>
      <c r="T23" s="217">
        <f t="shared" si="3"/>
        <v>12</v>
      </c>
      <c r="U23" s="80"/>
      <c r="V23" s="214"/>
    </row>
    <row r="24" spans="1:23" s="65" customFormat="1" ht="12" x14ac:dyDescent="0.2">
      <c r="A24" s="213" t="s">
        <v>97</v>
      </c>
      <c r="B24" s="217">
        <f t="shared" ref="B24:T24" si="4">IF(ISBLANK(B117),0,$B$10)</f>
        <v>0</v>
      </c>
      <c r="C24" s="217">
        <f t="shared" si="4"/>
        <v>0</v>
      </c>
      <c r="D24" s="217">
        <f t="shared" si="4"/>
        <v>0</v>
      </c>
      <c r="E24" s="217">
        <f t="shared" si="4"/>
        <v>0</v>
      </c>
      <c r="F24" s="217">
        <f t="shared" si="4"/>
        <v>0</v>
      </c>
      <c r="G24" s="217">
        <f t="shared" si="4"/>
        <v>0</v>
      </c>
      <c r="H24" s="217">
        <f t="shared" si="4"/>
        <v>0</v>
      </c>
      <c r="I24" s="217">
        <f t="shared" si="4"/>
        <v>106.80000000000001</v>
      </c>
      <c r="J24" s="217">
        <f t="shared" si="4"/>
        <v>0</v>
      </c>
      <c r="K24" s="217">
        <f t="shared" si="4"/>
        <v>106.80000000000001</v>
      </c>
      <c r="L24" s="217">
        <f t="shared" si="4"/>
        <v>0</v>
      </c>
      <c r="M24" s="217">
        <f t="shared" si="4"/>
        <v>0</v>
      </c>
      <c r="N24" s="217">
        <f t="shared" si="4"/>
        <v>106.80000000000001</v>
      </c>
      <c r="O24" s="217">
        <f t="shared" si="4"/>
        <v>106.80000000000001</v>
      </c>
      <c r="P24" s="217">
        <f t="shared" si="4"/>
        <v>106.80000000000001</v>
      </c>
      <c r="Q24" s="217">
        <f t="shared" si="4"/>
        <v>106.80000000000001</v>
      </c>
      <c r="R24" s="217">
        <f t="shared" si="4"/>
        <v>106.80000000000001</v>
      </c>
      <c r="S24" s="218">
        <f t="shared" si="4"/>
        <v>106.80000000000001</v>
      </c>
      <c r="T24" s="217">
        <f t="shared" si="4"/>
        <v>0</v>
      </c>
      <c r="U24" s="80"/>
      <c r="V24" s="214"/>
    </row>
    <row r="25" spans="1:23" s="65" customFormat="1" ht="12" x14ac:dyDescent="0.2">
      <c r="A25" s="213" t="s">
        <v>98</v>
      </c>
      <c r="B25" s="215">
        <f>B21*$B$5+SUM(B23:B24)</f>
        <v>210.72</v>
      </c>
      <c r="C25" s="215">
        <f t="shared" ref="C25:T25" si="5">C21*$B$5+SUM(C23:C24)</f>
        <v>260.39999999999998</v>
      </c>
      <c r="D25" s="215">
        <f t="shared" si="5"/>
        <v>260.39999999999998</v>
      </c>
      <c r="E25" s="215">
        <f t="shared" si="5"/>
        <v>260.39999999999998</v>
      </c>
      <c r="F25" s="215">
        <f t="shared" si="5"/>
        <v>260.39999999999998</v>
      </c>
      <c r="G25" s="215">
        <f t="shared" si="5"/>
        <v>260.39999999999998</v>
      </c>
      <c r="H25" s="215">
        <f t="shared" si="5"/>
        <v>285.24</v>
      </c>
      <c r="I25" s="215">
        <f t="shared" si="5"/>
        <v>416.87999999999994</v>
      </c>
      <c r="J25" s="215">
        <f t="shared" si="5"/>
        <v>334.91999999999996</v>
      </c>
      <c r="K25" s="215">
        <f t="shared" si="5"/>
        <v>466.55999999999989</v>
      </c>
      <c r="L25" s="215">
        <f t="shared" si="5"/>
        <v>359.75999999999988</v>
      </c>
      <c r="M25" s="215">
        <f t="shared" si="5"/>
        <v>359.75999999999988</v>
      </c>
      <c r="N25" s="215">
        <f t="shared" si="5"/>
        <v>516.24</v>
      </c>
      <c r="O25" s="215">
        <f t="shared" si="5"/>
        <v>516.24</v>
      </c>
      <c r="P25" s="215">
        <f t="shared" si="5"/>
        <v>516.24</v>
      </c>
      <c r="Q25" s="215">
        <f t="shared" si="5"/>
        <v>516.24</v>
      </c>
      <c r="R25" s="215">
        <f t="shared" si="5"/>
        <v>516.24</v>
      </c>
      <c r="S25" s="216">
        <f t="shared" si="5"/>
        <v>516.24</v>
      </c>
      <c r="T25" s="215">
        <f t="shared" si="5"/>
        <v>210.72</v>
      </c>
      <c r="U25" s="80"/>
      <c r="V25" s="214"/>
    </row>
    <row r="26" spans="1:23" s="65" customFormat="1" ht="12" x14ac:dyDescent="0.2">
      <c r="A26" s="219" t="s">
        <v>99</v>
      </c>
      <c r="B26" s="220">
        <f t="shared" ref="B26:T26" si="6">-IF(ISBLANK(B116),0,MIN(B$22*$H$10,B$22-$B$7*$H$9))</f>
        <v>0</v>
      </c>
      <c r="C26" s="220">
        <f t="shared" si="6"/>
        <v>-49.679999999999978</v>
      </c>
      <c r="D26" s="220">
        <f t="shared" si="6"/>
        <v>-49.679999999999978</v>
      </c>
      <c r="E26" s="220">
        <f t="shared" si="6"/>
        <v>-49.679999999999978</v>
      </c>
      <c r="F26" s="220">
        <f t="shared" si="6"/>
        <v>-49.679999999999978</v>
      </c>
      <c r="G26" s="220">
        <f t="shared" si="6"/>
        <v>-49.679999999999978</v>
      </c>
      <c r="H26" s="220">
        <f t="shared" si="6"/>
        <v>-74.52000000000001</v>
      </c>
      <c r="I26" s="220">
        <f t="shared" si="6"/>
        <v>-99.359999999999928</v>
      </c>
      <c r="J26" s="220">
        <f t="shared" si="6"/>
        <v>-124.19999999999996</v>
      </c>
      <c r="K26" s="220">
        <f t="shared" si="6"/>
        <v>-149.03999999999988</v>
      </c>
      <c r="L26" s="220">
        <f t="shared" si="6"/>
        <v>-149.03999999999988</v>
      </c>
      <c r="M26" s="220">
        <f t="shared" si="6"/>
        <v>-149.03999999999988</v>
      </c>
      <c r="N26" s="220">
        <f t="shared" si="6"/>
        <v>0</v>
      </c>
      <c r="O26" s="220">
        <f t="shared" si="6"/>
        <v>0</v>
      </c>
      <c r="P26" s="220">
        <f t="shared" si="6"/>
        <v>0</v>
      </c>
      <c r="Q26" s="220">
        <f t="shared" si="6"/>
        <v>0</v>
      </c>
      <c r="R26" s="220">
        <f t="shared" si="6"/>
        <v>0</v>
      </c>
      <c r="S26" s="221">
        <f t="shared" si="6"/>
        <v>0</v>
      </c>
      <c r="T26" s="220">
        <f t="shared" si="6"/>
        <v>0</v>
      </c>
      <c r="U26" s="80"/>
      <c r="V26" s="214"/>
    </row>
    <row r="27" spans="1:23" s="65" customFormat="1" ht="12" x14ac:dyDescent="0.2">
      <c r="A27" s="213" t="s">
        <v>100</v>
      </c>
      <c r="B27" s="220">
        <f t="shared" ref="B27:T27" si="7">SUM(B25:B26)</f>
        <v>210.72</v>
      </c>
      <c r="C27" s="220">
        <f t="shared" si="7"/>
        <v>210.72</v>
      </c>
      <c r="D27" s="220">
        <f t="shared" si="7"/>
        <v>210.72</v>
      </c>
      <c r="E27" s="220">
        <f t="shared" si="7"/>
        <v>210.72</v>
      </c>
      <c r="F27" s="220">
        <f t="shared" si="7"/>
        <v>210.72</v>
      </c>
      <c r="G27" s="220">
        <f t="shared" si="7"/>
        <v>210.72</v>
      </c>
      <c r="H27" s="220">
        <f t="shared" si="7"/>
        <v>210.72</v>
      </c>
      <c r="I27" s="220">
        <f t="shared" si="7"/>
        <v>317.52</v>
      </c>
      <c r="J27" s="220">
        <f t="shared" si="7"/>
        <v>210.72</v>
      </c>
      <c r="K27" s="220">
        <f t="shared" si="7"/>
        <v>317.52</v>
      </c>
      <c r="L27" s="220">
        <f t="shared" si="7"/>
        <v>210.72</v>
      </c>
      <c r="M27" s="220">
        <f t="shared" si="7"/>
        <v>210.72</v>
      </c>
      <c r="N27" s="220">
        <f t="shared" si="7"/>
        <v>516.24</v>
      </c>
      <c r="O27" s="220">
        <f t="shared" si="7"/>
        <v>516.24</v>
      </c>
      <c r="P27" s="220">
        <f t="shared" si="7"/>
        <v>516.24</v>
      </c>
      <c r="Q27" s="220">
        <f t="shared" si="7"/>
        <v>516.24</v>
      </c>
      <c r="R27" s="220">
        <f t="shared" si="7"/>
        <v>516.24</v>
      </c>
      <c r="S27" s="221">
        <f t="shared" si="7"/>
        <v>516.24</v>
      </c>
      <c r="T27" s="220">
        <f t="shared" si="7"/>
        <v>210.72</v>
      </c>
      <c r="U27" s="80"/>
      <c r="V27" s="214"/>
    </row>
    <row r="28" spans="1:23" s="65" customFormat="1" ht="12" x14ac:dyDescent="0.2">
      <c r="A28" s="219" t="s">
        <v>101</v>
      </c>
      <c r="B28" s="185">
        <f>AVERAGE(B22,R22:S22)</f>
        <v>331.2</v>
      </c>
      <c r="C28" s="185">
        <f>AVERAGE(B22:C22,S22)</f>
        <v>281.52</v>
      </c>
      <c r="D28" s="185">
        <f>AVERAGE(B22:D22)</f>
        <v>231.84</v>
      </c>
      <c r="E28" s="185">
        <f t="shared" ref="E28:S28" si="8">AVERAGE(C22:E22)</f>
        <v>248.39999999999998</v>
      </c>
      <c r="F28" s="185">
        <f t="shared" si="8"/>
        <v>248.39999999999998</v>
      </c>
      <c r="G28" s="185">
        <f t="shared" si="8"/>
        <v>248.39999999999998</v>
      </c>
      <c r="H28" s="185">
        <f t="shared" si="8"/>
        <v>256.68</v>
      </c>
      <c r="I28" s="185">
        <f t="shared" si="8"/>
        <v>273.23999999999995</v>
      </c>
      <c r="J28" s="185">
        <f t="shared" si="8"/>
        <v>298.08</v>
      </c>
      <c r="K28" s="185">
        <f t="shared" si="8"/>
        <v>322.9199999999999</v>
      </c>
      <c r="L28" s="185">
        <f t="shared" si="8"/>
        <v>339.4799999999999</v>
      </c>
      <c r="M28" s="185">
        <f t="shared" si="8"/>
        <v>347.75999999999993</v>
      </c>
      <c r="N28" s="185">
        <f t="shared" si="8"/>
        <v>364.31999999999994</v>
      </c>
      <c r="O28" s="185">
        <f t="shared" si="8"/>
        <v>380.87999999999994</v>
      </c>
      <c r="P28" s="185">
        <f t="shared" si="8"/>
        <v>397.44</v>
      </c>
      <c r="Q28" s="185">
        <f t="shared" si="8"/>
        <v>397.44</v>
      </c>
      <c r="R28" s="185">
        <f t="shared" si="8"/>
        <v>397.44</v>
      </c>
      <c r="S28" s="187">
        <f t="shared" si="8"/>
        <v>397.44</v>
      </c>
      <c r="T28" s="185">
        <f>T27</f>
        <v>210.72</v>
      </c>
      <c r="U28" s="80"/>
      <c r="V28" s="214"/>
    </row>
    <row r="29" spans="1:23" s="65" customFormat="1" ht="12" x14ac:dyDescent="0.2">
      <c r="A29" s="302" t="s">
        <v>102</v>
      </c>
      <c r="B29" s="216"/>
      <c r="C29" s="297"/>
      <c r="D29" s="297"/>
      <c r="E29" s="297"/>
      <c r="F29" s="297"/>
      <c r="G29" s="297"/>
      <c r="H29" s="297"/>
      <c r="I29" s="297"/>
      <c r="J29" s="297"/>
      <c r="K29" s="297"/>
      <c r="L29" s="297"/>
      <c r="M29" s="297"/>
      <c r="N29" s="297"/>
      <c r="O29" s="297"/>
      <c r="P29" s="297"/>
      <c r="Q29" s="297"/>
      <c r="R29" s="297"/>
      <c r="S29" s="297"/>
      <c r="T29" s="185"/>
      <c r="U29" s="80"/>
      <c r="V29" s="214"/>
    </row>
    <row r="30" spans="1:23" s="65" customFormat="1" ht="12" x14ac:dyDescent="0.2">
      <c r="A30" s="219" t="s">
        <v>103</v>
      </c>
      <c r="B30" s="220">
        <f t="shared" ref="B30:T30" si="9">IF(ISBLANK(B116),0,$B$11)</f>
        <v>384</v>
      </c>
      <c r="C30" s="220">
        <f t="shared" si="9"/>
        <v>384</v>
      </c>
      <c r="D30" s="220">
        <f t="shared" si="9"/>
        <v>384</v>
      </c>
      <c r="E30" s="220">
        <f t="shared" si="9"/>
        <v>384</v>
      </c>
      <c r="F30" s="220">
        <f t="shared" si="9"/>
        <v>384</v>
      </c>
      <c r="G30" s="220">
        <f t="shared" si="9"/>
        <v>384</v>
      </c>
      <c r="H30" s="220">
        <f t="shared" si="9"/>
        <v>384</v>
      </c>
      <c r="I30" s="220">
        <f t="shared" si="9"/>
        <v>384</v>
      </c>
      <c r="J30" s="220">
        <f t="shared" si="9"/>
        <v>384</v>
      </c>
      <c r="K30" s="220">
        <f t="shared" si="9"/>
        <v>384</v>
      </c>
      <c r="L30" s="220">
        <f t="shared" si="9"/>
        <v>384</v>
      </c>
      <c r="M30" s="220">
        <f t="shared" si="9"/>
        <v>384</v>
      </c>
      <c r="N30" s="220">
        <f t="shared" si="9"/>
        <v>0</v>
      </c>
      <c r="O30" s="220">
        <f t="shared" si="9"/>
        <v>0</v>
      </c>
      <c r="P30" s="220">
        <f t="shared" si="9"/>
        <v>0</v>
      </c>
      <c r="Q30" s="220">
        <f t="shared" si="9"/>
        <v>0</v>
      </c>
      <c r="R30" s="220">
        <f t="shared" si="9"/>
        <v>0</v>
      </c>
      <c r="S30" s="221">
        <f t="shared" si="9"/>
        <v>0</v>
      </c>
      <c r="T30" s="220">
        <f t="shared" si="9"/>
        <v>384</v>
      </c>
      <c r="U30" s="80"/>
      <c r="V30" s="214"/>
    </row>
    <row r="31" spans="1:23" s="65" customFormat="1" ht="12.75" x14ac:dyDescent="0.2">
      <c r="A31" s="222" t="s">
        <v>104</v>
      </c>
      <c r="B31" s="87"/>
      <c r="C31" s="88"/>
      <c r="D31" s="88"/>
      <c r="E31" s="88"/>
      <c r="F31" s="88"/>
      <c r="G31" s="88"/>
      <c r="H31" s="88"/>
      <c r="I31" s="88"/>
      <c r="J31" s="88"/>
      <c r="K31" s="88"/>
      <c r="L31" s="88"/>
      <c r="M31" s="88"/>
      <c r="N31" s="88"/>
      <c r="O31" s="88"/>
      <c r="P31" s="88"/>
      <c r="Q31" s="88"/>
      <c r="R31" s="88"/>
      <c r="S31" s="88"/>
      <c r="T31" s="489"/>
      <c r="U31" s="80"/>
      <c r="V31" s="214"/>
    </row>
    <row r="32" spans="1:23" s="65" customFormat="1" ht="12" x14ac:dyDescent="0.2">
      <c r="A32" s="223" t="s">
        <v>105</v>
      </c>
      <c r="B32" s="314">
        <v>0.8</v>
      </c>
      <c r="C32" s="314">
        <v>0.8</v>
      </c>
      <c r="D32" s="314">
        <v>0.8</v>
      </c>
      <c r="E32" s="314">
        <v>0.8</v>
      </c>
      <c r="F32" s="314">
        <v>0.8</v>
      </c>
      <c r="G32" s="314">
        <v>0.8</v>
      </c>
      <c r="H32" s="314">
        <v>0.9</v>
      </c>
      <c r="I32" s="314">
        <v>0.9</v>
      </c>
      <c r="J32" s="314">
        <v>0.9</v>
      </c>
      <c r="K32" s="314">
        <v>0.9</v>
      </c>
      <c r="L32" s="314">
        <v>0.9</v>
      </c>
      <c r="M32" s="314">
        <v>0.9</v>
      </c>
      <c r="N32" s="314">
        <v>1</v>
      </c>
      <c r="O32" s="314">
        <v>1</v>
      </c>
      <c r="P32" s="314">
        <v>1</v>
      </c>
      <c r="Q32" s="314">
        <v>1</v>
      </c>
      <c r="R32" s="314">
        <v>1</v>
      </c>
      <c r="S32" s="81">
        <v>1</v>
      </c>
      <c r="T32" s="314">
        <v>0.6</v>
      </c>
      <c r="U32" s="224"/>
      <c r="V32" s="80"/>
      <c r="W32" s="225"/>
    </row>
    <row r="33" spans="1:23" s="65" customFormat="1" ht="12" x14ac:dyDescent="0.2">
      <c r="A33" s="223" t="s">
        <v>106</v>
      </c>
      <c r="B33" s="314">
        <f>B32*0.8</f>
        <v>0.64000000000000012</v>
      </c>
      <c r="C33" s="314">
        <f t="shared" ref="C33:S33" si="10">C32*0.8</f>
        <v>0.64000000000000012</v>
      </c>
      <c r="D33" s="314">
        <f t="shared" si="10"/>
        <v>0.64000000000000012</v>
      </c>
      <c r="E33" s="314">
        <f t="shared" si="10"/>
        <v>0.64000000000000012</v>
      </c>
      <c r="F33" s="314">
        <f t="shared" si="10"/>
        <v>0.64000000000000012</v>
      </c>
      <c r="G33" s="314">
        <f t="shared" si="10"/>
        <v>0.64000000000000012</v>
      </c>
      <c r="H33" s="314">
        <f t="shared" si="10"/>
        <v>0.72000000000000008</v>
      </c>
      <c r="I33" s="314">
        <f t="shared" si="10"/>
        <v>0.72000000000000008</v>
      </c>
      <c r="J33" s="314">
        <f t="shared" si="10"/>
        <v>0.72000000000000008</v>
      </c>
      <c r="K33" s="314">
        <f t="shared" si="10"/>
        <v>0.72000000000000008</v>
      </c>
      <c r="L33" s="314">
        <f t="shared" si="10"/>
        <v>0.72000000000000008</v>
      </c>
      <c r="M33" s="314">
        <f t="shared" si="10"/>
        <v>0.72000000000000008</v>
      </c>
      <c r="N33" s="314">
        <f t="shared" si="10"/>
        <v>0.8</v>
      </c>
      <c r="O33" s="314">
        <f t="shared" si="10"/>
        <v>0.8</v>
      </c>
      <c r="P33" s="314">
        <f t="shared" si="10"/>
        <v>0.8</v>
      </c>
      <c r="Q33" s="314">
        <f t="shared" si="10"/>
        <v>0.8</v>
      </c>
      <c r="R33" s="314">
        <f t="shared" si="10"/>
        <v>0.8</v>
      </c>
      <c r="S33" s="314">
        <f t="shared" si="10"/>
        <v>0.8</v>
      </c>
      <c r="T33" s="314">
        <v>0.375</v>
      </c>
      <c r="U33" s="224"/>
      <c r="V33" s="80"/>
      <c r="W33" s="226"/>
    </row>
    <row r="34" spans="1:23" s="65" customFormat="1" ht="12" x14ac:dyDescent="0.2">
      <c r="A34" s="223" t="s">
        <v>107</v>
      </c>
      <c r="B34" s="68">
        <f>((B36*$B$137)/$B$2)</f>
        <v>0.4843237021351624</v>
      </c>
      <c r="C34" s="68">
        <f t="shared" ref="C34:T34" si="11">((C36*$B$137)/$B$2)</f>
        <v>0.4843237021351624</v>
      </c>
      <c r="D34" s="68">
        <f t="shared" si="11"/>
        <v>0.4843237021351624</v>
      </c>
      <c r="E34" s="68">
        <f t="shared" si="11"/>
        <v>0.4843237021351624</v>
      </c>
      <c r="F34" s="68">
        <f t="shared" si="11"/>
        <v>0.4843237021351624</v>
      </c>
      <c r="G34" s="68">
        <f t="shared" si="11"/>
        <v>0.4843237021351624</v>
      </c>
      <c r="H34" s="68">
        <f t="shared" si="11"/>
        <v>0.54486416490205769</v>
      </c>
      <c r="I34" s="68">
        <f t="shared" si="11"/>
        <v>0.54486416490205769</v>
      </c>
      <c r="J34" s="68">
        <f t="shared" si="11"/>
        <v>0.54486416490205769</v>
      </c>
      <c r="K34" s="68">
        <f t="shared" si="11"/>
        <v>0.54486416490205769</v>
      </c>
      <c r="L34" s="68">
        <f t="shared" si="11"/>
        <v>0.54486416490205769</v>
      </c>
      <c r="M34" s="68">
        <f t="shared" si="11"/>
        <v>0.54486416490205769</v>
      </c>
      <c r="N34" s="68">
        <f t="shared" si="11"/>
        <v>0.60540462766895309</v>
      </c>
      <c r="O34" s="68">
        <f t="shared" si="11"/>
        <v>0.60540462766895309</v>
      </c>
      <c r="P34" s="68">
        <f t="shared" si="11"/>
        <v>0.60540462766895309</v>
      </c>
      <c r="Q34" s="68">
        <f t="shared" si="11"/>
        <v>0.60540462766895309</v>
      </c>
      <c r="R34" s="68">
        <f t="shared" si="11"/>
        <v>0.60540462766895309</v>
      </c>
      <c r="S34" s="68">
        <f t="shared" si="11"/>
        <v>0.60540462766895309</v>
      </c>
      <c r="T34" s="68">
        <f t="shared" si="11"/>
        <v>0.2837834192198217</v>
      </c>
      <c r="U34" s="224"/>
      <c r="V34" s="80"/>
      <c r="W34" s="226"/>
    </row>
    <row r="35" spans="1:23" s="65" customFormat="1" ht="12" x14ac:dyDescent="0.2">
      <c r="A35" s="83" t="s">
        <v>108</v>
      </c>
      <c r="B35" s="104">
        <f t="shared" ref="B35:T35" si="12">IF(B13="Deploy",$C$3*B32,$C$2*B32)</f>
        <v>5.6000000000000005</v>
      </c>
      <c r="C35" s="104">
        <f t="shared" si="12"/>
        <v>5.6000000000000005</v>
      </c>
      <c r="D35" s="104">
        <f t="shared" si="12"/>
        <v>5.6000000000000005</v>
      </c>
      <c r="E35" s="104">
        <f t="shared" si="12"/>
        <v>5.6000000000000005</v>
      </c>
      <c r="F35" s="104">
        <f t="shared" si="12"/>
        <v>5.6000000000000005</v>
      </c>
      <c r="G35" s="104">
        <f t="shared" si="12"/>
        <v>5.6000000000000005</v>
      </c>
      <c r="H35" s="104">
        <f t="shared" si="12"/>
        <v>6.3</v>
      </c>
      <c r="I35" s="104">
        <f t="shared" si="12"/>
        <v>6.3</v>
      </c>
      <c r="J35" s="104">
        <f t="shared" si="12"/>
        <v>6.3</v>
      </c>
      <c r="K35" s="104">
        <f t="shared" si="12"/>
        <v>6.3</v>
      </c>
      <c r="L35" s="104">
        <f t="shared" si="12"/>
        <v>6.3</v>
      </c>
      <c r="M35" s="104">
        <f t="shared" si="12"/>
        <v>6.3</v>
      </c>
      <c r="N35" s="104">
        <f t="shared" si="12"/>
        <v>7</v>
      </c>
      <c r="O35" s="104">
        <f t="shared" si="12"/>
        <v>7</v>
      </c>
      <c r="P35" s="104">
        <f t="shared" si="12"/>
        <v>7</v>
      </c>
      <c r="Q35" s="104">
        <f t="shared" si="12"/>
        <v>7</v>
      </c>
      <c r="R35" s="104">
        <f t="shared" si="12"/>
        <v>7</v>
      </c>
      <c r="S35" s="105">
        <f t="shared" si="12"/>
        <v>7</v>
      </c>
      <c r="T35" s="104">
        <f t="shared" si="12"/>
        <v>4.2</v>
      </c>
      <c r="U35" s="227"/>
      <c r="V35" s="80"/>
      <c r="W35" s="85"/>
    </row>
    <row r="36" spans="1:23" s="65" customFormat="1" ht="12" x14ac:dyDescent="0.2">
      <c r="A36" s="83" t="s">
        <v>109</v>
      </c>
      <c r="B36" s="484">
        <f t="shared" ref="B36:T36" si="13">IF(B13="Deploy",$C$3*B33,$C$2*B33)</f>
        <v>4.4800000000000004</v>
      </c>
      <c r="C36" s="484">
        <f t="shared" si="13"/>
        <v>4.4800000000000004</v>
      </c>
      <c r="D36" s="484">
        <f t="shared" si="13"/>
        <v>4.4800000000000004</v>
      </c>
      <c r="E36" s="484">
        <f t="shared" si="13"/>
        <v>4.4800000000000004</v>
      </c>
      <c r="F36" s="484">
        <f t="shared" si="13"/>
        <v>4.4800000000000004</v>
      </c>
      <c r="G36" s="484">
        <f t="shared" si="13"/>
        <v>4.4800000000000004</v>
      </c>
      <c r="H36" s="484">
        <f t="shared" si="13"/>
        <v>5.0400000000000009</v>
      </c>
      <c r="I36" s="484">
        <f t="shared" si="13"/>
        <v>5.0400000000000009</v>
      </c>
      <c r="J36" s="484">
        <f t="shared" si="13"/>
        <v>5.0400000000000009</v>
      </c>
      <c r="K36" s="484">
        <f t="shared" si="13"/>
        <v>5.0400000000000009</v>
      </c>
      <c r="L36" s="484">
        <f t="shared" si="13"/>
        <v>5.0400000000000009</v>
      </c>
      <c r="M36" s="484">
        <f t="shared" si="13"/>
        <v>5.0400000000000009</v>
      </c>
      <c r="N36" s="484">
        <f t="shared" si="13"/>
        <v>5.6000000000000005</v>
      </c>
      <c r="O36" s="484">
        <f t="shared" si="13"/>
        <v>5.6000000000000005</v>
      </c>
      <c r="P36" s="484">
        <f t="shared" si="13"/>
        <v>5.6000000000000005</v>
      </c>
      <c r="Q36" s="484">
        <f t="shared" si="13"/>
        <v>5.6000000000000005</v>
      </c>
      <c r="R36" s="484">
        <f t="shared" si="13"/>
        <v>5.6000000000000005</v>
      </c>
      <c r="S36" s="546">
        <f t="shared" si="13"/>
        <v>5.6000000000000005</v>
      </c>
      <c r="T36" s="484">
        <f t="shared" si="13"/>
        <v>2.625</v>
      </c>
      <c r="U36" s="227"/>
      <c r="V36" s="80"/>
      <c r="W36" s="85"/>
    </row>
    <row r="37" spans="1:23" s="65" customFormat="1" ht="12" x14ac:dyDescent="0.2">
      <c r="A37" s="565" t="s">
        <v>110</v>
      </c>
      <c r="B37" s="587">
        <f>B34*$B$2</f>
        <v>3.3902659149461369</v>
      </c>
      <c r="C37" s="587">
        <f t="shared" ref="C37:T37" si="14">C34*$B$2</f>
        <v>3.3902659149461369</v>
      </c>
      <c r="D37" s="587">
        <f t="shared" si="14"/>
        <v>3.3902659149461369</v>
      </c>
      <c r="E37" s="587">
        <f t="shared" si="14"/>
        <v>3.3902659149461369</v>
      </c>
      <c r="F37" s="587">
        <f t="shared" si="14"/>
        <v>3.3902659149461369</v>
      </c>
      <c r="G37" s="587">
        <f t="shared" si="14"/>
        <v>3.3902659149461369</v>
      </c>
      <c r="H37" s="587">
        <f t="shared" si="14"/>
        <v>3.8140491543144037</v>
      </c>
      <c r="I37" s="587">
        <f t="shared" si="14"/>
        <v>3.8140491543144037</v>
      </c>
      <c r="J37" s="587">
        <f t="shared" si="14"/>
        <v>3.8140491543144037</v>
      </c>
      <c r="K37" s="587">
        <f t="shared" si="14"/>
        <v>3.8140491543144037</v>
      </c>
      <c r="L37" s="587">
        <f t="shared" si="14"/>
        <v>3.8140491543144037</v>
      </c>
      <c r="M37" s="587">
        <f t="shared" si="14"/>
        <v>3.8140491543144037</v>
      </c>
      <c r="N37" s="587">
        <f t="shared" si="14"/>
        <v>4.2378323936826714</v>
      </c>
      <c r="O37" s="587">
        <f t="shared" si="14"/>
        <v>4.2378323936826714</v>
      </c>
      <c r="P37" s="587">
        <f t="shared" si="14"/>
        <v>4.2378323936826714</v>
      </c>
      <c r="Q37" s="587">
        <f t="shared" si="14"/>
        <v>4.2378323936826714</v>
      </c>
      <c r="R37" s="587">
        <f t="shared" si="14"/>
        <v>4.2378323936826714</v>
      </c>
      <c r="S37" s="587">
        <f t="shared" si="14"/>
        <v>4.2378323936826714</v>
      </c>
      <c r="T37" s="587">
        <f t="shared" si="14"/>
        <v>1.9864839345387519</v>
      </c>
      <c r="U37" s="227"/>
      <c r="V37" s="80"/>
      <c r="W37" s="85"/>
    </row>
    <row r="38" spans="1:23" s="64" customFormat="1" ht="12.75" x14ac:dyDescent="0.2">
      <c r="A38" s="222" t="s">
        <v>111</v>
      </c>
      <c r="B38" s="485"/>
      <c r="C38" s="486"/>
      <c r="D38" s="486"/>
      <c r="E38" s="486"/>
      <c r="F38" s="486"/>
      <c r="G38" s="486"/>
      <c r="H38" s="486"/>
      <c r="I38" s="486"/>
      <c r="J38" s="486"/>
      <c r="K38" s="486"/>
      <c r="L38" s="486"/>
      <c r="M38" s="486"/>
      <c r="N38" s="486"/>
      <c r="O38" s="486"/>
      <c r="P38" s="486"/>
      <c r="Q38" s="486"/>
      <c r="R38" s="486"/>
      <c r="S38" s="486"/>
      <c r="T38" s="228"/>
      <c r="U38" s="89"/>
      <c r="V38" s="65"/>
      <c r="W38" s="89"/>
    </row>
    <row r="39" spans="1:23" s="65" customFormat="1" ht="12" x14ac:dyDescent="0.2">
      <c r="A39" s="83" t="s">
        <v>112</v>
      </c>
      <c r="B39" s="588">
        <f t="shared" ref="B39:T39" si="15">B$36*$B138</f>
        <v>2.8044252681409794</v>
      </c>
      <c r="C39" s="588">
        <f t="shared" si="15"/>
        <v>2.8044252681409794</v>
      </c>
      <c r="D39" s="588">
        <f t="shared" si="15"/>
        <v>2.8044252681409794</v>
      </c>
      <c r="E39" s="588">
        <f t="shared" si="15"/>
        <v>2.8044252681409794</v>
      </c>
      <c r="F39" s="588">
        <f t="shared" si="15"/>
        <v>2.8044252681409794</v>
      </c>
      <c r="G39" s="588">
        <f t="shared" si="15"/>
        <v>2.8044252681409794</v>
      </c>
      <c r="H39" s="588">
        <f t="shared" si="15"/>
        <v>3.1549784266586021</v>
      </c>
      <c r="I39" s="588">
        <f t="shared" si="15"/>
        <v>3.1549784266586021</v>
      </c>
      <c r="J39" s="588">
        <f t="shared" si="15"/>
        <v>3.1549784266586021</v>
      </c>
      <c r="K39" s="588">
        <f t="shared" si="15"/>
        <v>3.1549784266586021</v>
      </c>
      <c r="L39" s="588">
        <f t="shared" si="15"/>
        <v>3.1549784266586021</v>
      </c>
      <c r="M39" s="588">
        <f t="shared" si="15"/>
        <v>3.1549784266586021</v>
      </c>
      <c r="N39" s="588">
        <f t="shared" si="15"/>
        <v>3.5055315851762243</v>
      </c>
      <c r="O39" s="588">
        <f t="shared" si="15"/>
        <v>3.5055315851762243</v>
      </c>
      <c r="P39" s="588">
        <f t="shared" si="15"/>
        <v>3.5055315851762243</v>
      </c>
      <c r="Q39" s="588">
        <f t="shared" si="15"/>
        <v>3.5055315851762243</v>
      </c>
      <c r="R39" s="588">
        <f t="shared" si="15"/>
        <v>3.5055315851762243</v>
      </c>
      <c r="S39" s="588">
        <f t="shared" si="15"/>
        <v>3.5055315851762243</v>
      </c>
      <c r="T39" s="588">
        <f t="shared" si="15"/>
        <v>1.643217930551355</v>
      </c>
    </row>
    <row r="40" spans="1:23" s="65" customFormat="1" ht="12" x14ac:dyDescent="0.2">
      <c r="A40" s="83" t="s">
        <v>113</v>
      </c>
      <c r="B40" s="588">
        <f t="shared" ref="B40:T40" si="16">B$36*$B139</f>
        <v>0.81171325411609474</v>
      </c>
      <c r="C40" s="588">
        <f t="shared" si="16"/>
        <v>0.81171325411609474</v>
      </c>
      <c r="D40" s="588">
        <f t="shared" si="16"/>
        <v>0.81171325411609474</v>
      </c>
      <c r="E40" s="588">
        <f t="shared" si="16"/>
        <v>0.81171325411609474</v>
      </c>
      <c r="F40" s="588">
        <f t="shared" si="16"/>
        <v>0.81171325411609474</v>
      </c>
      <c r="G40" s="588">
        <f t="shared" si="16"/>
        <v>0.81171325411609474</v>
      </c>
      <c r="H40" s="588">
        <f t="shared" si="16"/>
        <v>0.91317741088060667</v>
      </c>
      <c r="I40" s="588">
        <f t="shared" si="16"/>
        <v>0.91317741088060667</v>
      </c>
      <c r="J40" s="588">
        <f t="shared" si="16"/>
        <v>0.91317741088060667</v>
      </c>
      <c r="K40" s="588">
        <f t="shared" si="16"/>
        <v>0.91317741088060667</v>
      </c>
      <c r="L40" s="588">
        <f t="shared" si="16"/>
        <v>0.91317741088060667</v>
      </c>
      <c r="M40" s="588">
        <f t="shared" si="16"/>
        <v>0.91317741088060667</v>
      </c>
      <c r="N40" s="588">
        <f t="shared" si="16"/>
        <v>1.0146415676451184</v>
      </c>
      <c r="O40" s="588">
        <f t="shared" si="16"/>
        <v>1.0146415676451184</v>
      </c>
      <c r="P40" s="588">
        <f t="shared" si="16"/>
        <v>1.0146415676451184</v>
      </c>
      <c r="Q40" s="588">
        <f t="shared" si="16"/>
        <v>1.0146415676451184</v>
      </c>
      <c r="R40" s="588">
        <f t="shared" si="16"/>
        <v>1.0146415676451184</v>
      </c>
      <c r="S40" s="588">
        <f t="shared" si="16"/>
        <v>1.0146415676451184</v>
      </c>
      <c r="T40" s="588">
        <f t="shared" si="16"/>
        <v>0.4756132348336492</v>
      </c>
    </row>
    <row r="41" spans="1:23" s="64" customFormat="1" ht="12" x14ac:dyDescent="0.2">
      <c r="A41" s="83" t="s">
        <v>114</v>
      </c>
      <c r="B41" s="588">
        <f t="shared" ref="B41:T41" si="17">B$36*$B140</f>
        <v>0.25377481288067361</v>
      </c>
      <c r="C41" s="588">
        <f t="shared" si="17"/>
        <v>0.25377481288067361</v>
      </c>
      <c r="D41" s="588">
        <f t="shared" si="17"/>
        <v>0.25377481288067361</v>
      </c>
      <c r="E41" s="588">
        <f t="shared" si="17"/>
        <v>0.25377481288067361</v>
      </c>
      <c r="F41" s="588">
        <f t="shared" si="17"/>
        <v>0.25377481288067361</v>
      </c>
      <c r="G41" s="588">
        <f t="shared" si="17"/>
        <v>0.25377481288067361</v>
      </c>
      <c r="H41" s="588">
        <f t="shared" si="17"/>
        <v>0.28549666449075778</v>
      </c>
      <c r="I41" s="588">
        <f t="shared" si="17"/>
        <v>0.28549666449075778</v>
      </c>
      <c r="J41" s="588">
        <f t="shared" si="17"/>
        <v>0.28549666449075778</v>
      </c>
      <c r="K41" s="588">
        <f t="shared" si="17"/>
        <v>0.28549666449075778</v>
      </c>
      <c r="L41" s="588">
        <f t="shared" si="17"/>
        <v>0.28549666449075778</v>
      </c>
      <c r="M41" s="588">
        <f t="shared" si="17"/>
        <v>0.28549666449075778</v>
      </c>
      <c r="N41" s="588">
        <f t="shared" si="17"/>
        <v>0.31721851610084195</v>
      </c>
      <c r="O41" s="588">
        <f t="shared" si="17"/>
        <v>0.31721851610084195</v>
      </c>
      <c r="P41" s="588">
        <f t="shared" si="17"/>
        <v>0.31721851610084195</v>
      </c>
      <c r="Q41" s="588">
        <f t="shared" si="17"/>
        <v>0.31721851610084195</v>
      </c>
      <c r="R41" s="588">
        <f t="shared" si="17"/>
        <v>0.31721851610084195</v>
      </c>
      <c r="S41" s="588">
        <f t="shared" si="17"/>
        <v>0.31721851610084195</v>
      </c>
      <c r="T41" s="588">
        <f t="shared" si="17"/>
        <v>0.14869617942226968</v>
      </c>
      <c r="U41" s="89"/>
      <c r="V41" s="65"/>
      <c r="W41" s="89"/>
    </row>
    <row r="42" spans="1:23" s="64" customFormat="1" ht="12" x14ac:dyDescent="0.2">
      <c r="A42" s="83" t="s">
        <v>115</v>
      </c>
      <c r="B42" s="588">
        <f t="shared" ref="B42:T42" si="18">B$36*$B141</f>
        <v>1.5392998526396611</v>
      </c>
      <c r="C42" s="588">
        <f t="shared" si="18"/>
        <v>1.5392998526396611</v>
      </c>
      <c r="D42" s="588">
        <f t="shared" si="18"/>
        <v>1.5392998526396611</v>
      </c>
      <c r="E42" s="588">
        <f t="shared" si="18"/>
        <v>1.5392998526396611</v>
      </c>
      <c r="F42" s="588">
        <f t="shared" si="18"/>
        <v>1.5392998526396611</v>
      </c>
      <c r="G42" s="588">
        <f t="shared" si="18"/>
        <v>1.5392998526396611</v>
      </c>
      <c r="H42" s="588">
        <f t="shared" si="18"/>
        <v>1.7317123342196188</v>
      </c>
      <c r="I42" s="588">
        <f t="shared" si="18"/>
        <v>1.7317123342196188</v>
      </c>
      <c r="J42" s="588">
        <f t="shared" si="18"/>
        <v>1.7317123342196188</v>
      </c>
      <c r="K42" s="588">
        <f t="shared" si="18"/>
        <v>1.7317123342196188</v>
      </c>
      <c r="L42" s="588">
        <f t="shared" si="18"/>
        <v>1.7317123342196188</v>
      </c>
      <c r="M42" s="588">
        <f t="shared" si="18"/>
        <v>1.7317123342196188</v>
      </c>
      <c r="N42" s="588">
        <f t="shared" si="18"/>
        <v>1.9241248157995763</v>
      </c>
      <c r="O42" s="588">
        <f t="shared" si="18"/>
        <v>1.9241248157995763</v>
      </c>
      <c r="P42" s="588">
        <f t="shared" si="18"/>
        <v>1.9241248157995763</v>
      </c>
      <c r="Q42" s="588">
        <f t="shared" si="18"/>
        <v>1.9241248157995763</v>
      </c>
      <c r="R42" s="588">
        <f t="shared" si="18"/>
        <v>1.9241248157995763</v>
      </c>
      <c r="S42" s="588">
        <f t="shared" si="18"/>
        <v>1.9241248157995763</v>
      </c>
      <c r="T42" s="588">
        <f t="shared" si="18"/>
        <v>0.90193350740605127</v>
      </c>
      <c r="U42" s="89"/>
      <c r="V42" s="65"/>
      <c r="W42" s="89"/>
    </row>
    <row r="43" spans="1:23" s="64" customFormat="1" ht="12" x14ac:dyDescent="0.2">
      <c r="A43" s="83" t="s">
        <v>116</v>
      </c>
      <c r="B43" s="588">
        <f t="shared" ref="B43:T43" si="19">B$36*$B142</f>
        <v>0.17182760432422112</v>
      </c>
      <c r="C43" s="588">
        <f t="shared" si="19"/>
        <v>0.17182760432422112</v>
      </c>
      <c r="D43" s="588">
        <f t="shared" si="19"/>
        <v>0.17182760432422112</v>
      </c>
      <c r="E43" s="588">
        <f t="shared" si="19"/>
        <v>0.17182760432422112</v>
      </c>
      <c r="F43" s="588">
        <f t="shared" si="19"/>
        <v>0.17182760432422112</v>
      </c>
      <c r="G43" s="588">
        <f t="shared" si="19"/>
        <v>0.17182760432422112</v>
      </c>
      <c r="H43" s="588">
        <f t="shared" si="19"/>
        <v>0.19330605486474875</v>
      </c>
      <c r="I43" s="588">
        <f t="shared" si="19"/>
        <v>0.19330605486474875</v>
      </c>
      <c r="J43" s="588">
        <f t="shared" si="19"/>
        <v>0.19330605486474875</v>
      </c>
      <c r="K43" s="588">
        <f t="shared" si="19"/>
        <v>0.19330605486474875</v>
      </c>
      <c r="L43" s="588">
        <f t="shared" si="19"/>
        <v>0.19330605486474875</v>
      </c>
      <c r="M43" s="588">
        <f t="shared" si="19"/>
        <v>0.19330605486474875</v>
      </c>
      <c r="N43" s="588">
        <f t="shared" si="19"/>
        <v>0.21478450540527638</v>
      </c>
      <c r="O43" s="588">
        <f t="shared" si="19"/>
        <v>0.21478450540527638</v>
      </c>
      <c r="P43" s="588">
        <f t="shared" si="19"/>
        <v>0.21478450540527638</v>
      </c>
      <c r="Q43" s="588">
        <f t="shared" si="19"/>
        <v>0.21478450540527638</v>
      </c>
      <c r="R43" s="588">
        <f t="shared" si="19"/>
        <v>0.21478450540527638</v>
      </c>
      <c r="S43" s="588">
        <f t="shared" si="19"/>
        <v>0.21478450540527638</v>
      </c>
      <c r="T43" s="588">
        <f t="shared" si="19"/>
        <v>0.1006802369087233</v>
      </c>
      <c r="U43" s="89"/>
      <c r="V43" s="65"/>
      <c r="W43" s="89"/>
    </row>
    <row r="44" spans="1:23" s="64" customFormat="1" ht="12" x14ac:dyDescent="0.2">
      <c r="A44" s="83" t="s">
        <v>117</v>
      </c>
      <c r="B44" s="588">
        <f t="shared" ref="B44:T44" si="20">B$36*$B143</f>
        <v>1.5316281990726741</v>
      </c>
      <c r="C44" s="588">
        <f t="shared" si="20"/>
        <v>1.5316281990726741</v>
      </c>
      <c r="D44" s="588">
        <f t="shared" si="20"/>
        <v>1.5316281990726741</v>
      </c>
      <c r="E44" s="588">
        <f t="shared" si="20"/>
        <v>1.5316281990726741</v>
      </c>
      <c r="F44" s="588">
        <f t="shared" si="20"/>
        <v>1.5316281990726741</v>
      </c>
      <c r="G44" s="588">
        <f t="shared" si="20"/>
        <v>1.5316281990726741</v>
      </c>
      <c r="H44" s="588">
        <f t="shared" si="20"/>
        <v>1.7230817239567586</v>
      </c>
      <c r="I44" s="588">
        <f t="shared" si="20"/>
        <v>1.7230817239567586</v>
      </c>
      <c r="J44" s="588">
        <f t="shared" si="20"/>
        <v>1.7230817239567586</v>
      </c>
      <c r="K44" s="588">
        <f t="shared" si="20"/>
        <v>1.7230817239567586</v>
      </c>
      <c r="L44" s="588">
        <f t="shared" si="20"/>
        <v>1.7230817239567586</v>
      </c>
      <c r="M44" s="588">
        <f t="shared" si="20"/>
        <v>1.7230817239567586</v>
      </c>
      <c r="N44" s="588">
        <f t="shared" si="20"/>
        <v>1.9145352488408427</v>
      </c>
      <c r="O44" s="588">
        <f t="shared" si="20"/>
        <v>1.9145352488408427</v>
      </c>
      <c r="P44" s="588">
        <f t="shared" si="20"/>
        <v>1.9145352488408427</v>
      </c>
      <c r="Q44" s="588">
        <f t="shared" si="20"/>
        <v>1.9145352488408427</v>
      </c>
      <c r="R44" s="588">
        <f t="shared" si="20"/>
        <v>1.9145352488408427</v>
      </c>
      <c r="S44" s="588">
        <f t="shared" si="20"/>
        <v>1.9145352488408427</v>
      </c>
      <c r="T44" s="588">
        <f t="shared" si="20"/>
        <v>0.89743839789414492</v>
      </c>
      <c r="U44" s="89"/>
      <c r="V44" s="65"/>
      <c r="W44" s="89"/>
    </row>
    <row r="45" spans="1:23" s="64" customFormat="1" ht="12" x14ac:dyDescent="0.2">
      <c r="A45" s="83" t="s">
        <v>118</v>
      </c>
      <c r="B45" s="588">
        <f t="shared" ref="B45:T45" si="21">B$36*$B144</f>
        <v>0.13364369225217199</v>
      </c>
      <c r="C45" s="588">
        <f t="shared" si="21"/>
        <v>0.13364369225217199</v>
      </c>
      <c r="D45" s="588">
        <f t="shared" si="21"/>
        <v>0.13364369225217199</v>
      </c>
      <c r="E45" s="588">
        <f t="shared" si="21"/>
        <v>0.13364369225217199</v>
      </c>
      <c r="F45" s="588">
        <f t="shared" si="21"/>
        <v>0.13364369225217199</v>
      </c>
      <c r="G45" s="588">
        <f t="shared" si="21"/>
        <v>0.13364369225217199</v>
      </c>
      <c r="H45" s="588">
        <f t="shared" si="21"/>
        <v>0.15034915378369348</v>
      </c>
      <c r="I45" s="588">
        <f t="shared" si="21"/>
        <v>0.15034915378369348</v>
      </c>
      <c r="J45" s="588">
        <f t="shared" si="21"/>
        <v>0.15034915378369348</v>
      </c>
      <c r="K45" s="588">
        <f t="shared" si="21"/>
        <v>0.15034915378369348</v>
      </c>
      <c r="L45" s="588">
        <f t="shared" si="21"/>
        <v>0.15034915378369348</v>
      </c>
      <c r="M45" s="588">
        <f t="shared" si="21"/>
        <v>0.15034915378369348</v>
      </c>
      <c r="N45" s="588">
        <f t="shared" si="21"/>
        <v>0.16705461531521498</v>
      </c>
      <c r="O45" s="588">
        <f t="shared" si="21"/>
        <v>0.16705461531521498</v>
      </c>
      <c r="P45" s="588">
        <f t="shared" si="21"/>
        <v>0.16705461531521498</v>
      </c>
      <c r="Q45" s="588">
        <f t="shared" si="21"/>
        <v>0.16705461531521498</v>
      </c>
      <c r="R45" s="588">
        <f t="shared" si="21"/>
        <v>0.16705461531521498</v>
      </c>
      <c r="S45" s="588">
        <f t="shared" si="21"/>
        <v>0.16705461531521498</v>
      </c>
      <c r="T45" s="588">
        <f t="shared" si="21"/>
        <v>7.8306850929007008E-2</v>
      </c>
      <c r="U45" s="89"/>
      <c r="V45" s="65"/>
      <c r="W45" s="89"/>
    </row>
    <row r="46" spans="1:23" s="64" customFormat="1" ht="12" x14ac:dyDescent="0.2">
      <c r="A46" s="83" t="s">
        <v>119</v>
      </c>
      <c r="B46" s="588">
        <f t="shared" ref="B46:T46" si="22">B$36*$B145</f>
        <v>2.8863724766974315</v>
      </c>
      <c r="C46" s="588">
        <f t="shared" si="22"/>
        <v>2.8863724766974315</v>
      </c>
      <c r="D46" s="588">
        <f t="shared" si="22"/>
        <v>2.8863724766974315</v>
      </c>
      <c r="E46" s="588">
        <f t="shared" si="22"/>
        <v>2.8863724766974315</v>
      </c>
      <c r="F46" s="588">
        <f t="shared" si="22"/>
        <v>2.8863724766974315</v>
      </c>
      <c r="G46" s="588">
        <f t="shared" si="22"/>
        <v>2.8863724766974315</v>
      </c>
      <c r="H46" s="588">
        <f t="shared" si="22"/>
        <v>3.2471690362846104</v>
      </c>
      <c r="I46" s="588">
        <f t="shared" si="22"/>
        <v>3.2471690362846104</v>
      </c>
      <c r="J46" s="588">
        <f t="shared" si="22"/>
        <v>3.2471690362846104</v>
      </c>
      <c r="K46" s="588">
        <f t="shared" si="22"/>
        <v>3.2471690362846104</v>
      </c>
      <c r="L46" s="588">
        <f t="shared" si="22"/>
        <v>3.2471690362846104</v>
      </c>
      <c r="M46" s="588">
        <f t="shared" si="22"/>
        <v>3.2471690362846104</v>
      </c>
      <c r="N46" s="588">
        <f t="shared" si="22"/>
        <v>3.6079655958717893</v>
      </c>
      <c r="O46" s="588">
        <f t="shared" si="22"/>
        <v>3.6079655958717893</v>
      </c>
      <c r="P46" s="588">
        <f t="shared" si="22"/>
        <v>3.6079655958717893</v>
      </c>
      <c r="Q46" s="588">
        <f t="shared" si="22"/>
        <v>3.6079655958717893</v>
      </c>
      <c r="R46" s="588">
        <f t="shared" si="22"/>
        <v>3.6079655958717893</v>
      </c>
      <c r="S46" s="588">
        <f t="shared" si="22"/>
        <v>3.6079655958717893</v>
      </c>
      <c r="T46" s="588">
        <f t="shared" si="22"/>
        <v>1.691233873064901</v>
      </c>
      <c r="U46" s="89"/>
      <c r="V46" s="65"/>
      <c r="W46" s="89"/>
    </row>
    <row r="47" spans="1:23" s="64" customFormat="1" ht="12" customHeight="1" x14ac:dyDescent="0.2">
      <c r="A47" s="83" t="s">
        <v>120</v>
      </c>
      <c r="B47" s="588">
        <f>IF(B$13="Deploy",B$36,B$36*$B146)</f>
        <v>2.2181540154365709</v>
      </c>
      <c r="C47" s="588">
        <f t="shared" ref="C47:T47" si="23">IF(C$13="Deploy",C$36,C$36*$B146)</f>
        <v>2.2181540154365709</v>
      </c>
      <c r="D47" s="588">
        <f t="shared" si="23"/>
        <v>2.2181540154365709</v>
      </c>
      <c r="E47" s="588">
        <f t="shared" si="23"/>
        <v>2.2181540154365709</v>
      </c>
      <c r="F47" s="588">
        <f t="shared" si="23"/>
        <v>2.2181540154365709</v>
      </c>
      <c r="G47" s="588">
        <f t="shared" si="23"/>
        <v>2.2181540154365709</v>
      </c>
      <c r="H47" s="588">
        <f t="shared" si="23"/>
        <v>2.4954232673661427</v>
      </c>
      <c r="I47" s="588">
        <f t="shared" si="23"/>
        <v>2.4954232673661427</v>
      </c>
      <c r="J47" s="588">
        <f t="shared" si="23"/>
        <v>2.4954232673661427</v>
      </c>
      <c r="K47" s="588">
        <f t="shared" si="23"/>
        <v>2.4954232673661427</v>
      </c>
      <c r="L47" s="588">
        <f t="shared" si="23"/>
        <v>2.4954232673661427</v>
      </c>
      <c r="M47" s="588">
        <f t="shared" si="23"/>
        <v>2.4954232673661427</v>
      </c>
      <c r="N47" s="588">
        <f t="shared" si="23"/>
        <v>5.6000000000000005</v>
      </c>
      <c r="O47" s="588">
        <f t="shared" si="23"/>
        <v>5.6000000000000005</v>
      </c>
      <c r="P47" s="588">
        <f t="shared" si="23"/>
        <v>5.6000000000000005</v>
      </c>
      <c r="Q47" s="588">
        <f t="shared" si="23"/>
        <v>5.6000000000000005</v>
      </c>
      <c r="R47" s="588">
        <f t="shared" si="23"/>
        <v>5.6000000000000005</v>
      </c>
      <c r="S47" s="588">
        <f t="shared" si="23"/>
        <v>5.6000000000000005</v>
      </c>
      <c r="T47" s="588">
        <f t="shared" si="23"/>
        <v>1.2996996184198657</v>
      </c>
      <c r="U47" s="89"/>
      <c r="V47" s="65"/>
      <c r="W47" s="89"/>
    </row>
    <row r="48" spans="1:23" s="64" customFormat="1" ht="12" customHeight="1" x14ac:dyDescent="0.2">
      <c r="A48" s="476" t="s">
        <v>121</v>
      </c>
      <c r="B48" s="588">
        <f t="shared" ref="B48:T48" si="24">B$36*$B147</f>
        <v>4.4800000000000004</v>
      </c>
      <c r="C48" s="588">
        <f t="shared" si="24"/>
        <v>4.4800000000000004</v>
      </c>
      <c r="D48" s="588">
        <f t="shared" si="24"/>
        <v>4.4800000000000004</v>
      </c>
      <c r="E48" s="588">
        <f t="shared" si="24"/>
        <v>4.4800000000000004</v>
      </c>
      <c r="F48" s="588">
        <f t="shared" si="24"/>
        <v>4.4800000000000004</v>
      </c>
      <c r="G48" s="588">
        <f t="shared" si="24"/>
        <v>4.4800000000000004</v>
      </c>
      <c r="H48" s="588">
        <f t="shared" si="24"/>
        <v>5.0400000000000009</v>
      </c>
      <c r="I48" s="588">
        <f t="shared" si="24"/>
        <v>5.0400000000000009</v>
      </c>
      <c r="J48" s="588">
        <f t="shared" si="24"/>
        <v>5.0400000000000009</v>
      </c>
      <c r="K48" s="588">
        <f t="shared" si="24"/>
        <v>5.0400000000000009</v>
      </c>
      <c r="L48" s="588">
        <f t="shared" si="24"/>
        <v>5.0400000000000009</v>
      </c>
      <c r="M48" s="588">
        <f t="shared" si="24"/>
        <v>5.0400000000000009</v>
      </c>
      <c r="N48" s="588">
        <f t="shared" si="24"/>
        <v>5.6000000000000005</v>
      </c>
      <c r="O48" s="588">
        <f t="shared" si="24"/>
        <v>5.6000000000000005</v>
      </c>
      <c r="P48" s="588">
        <f t="shared" si="24"/>
        <v>5.6000000000000005</v>
      </c>
      <c r="Q48" s="588">
        <f t="shared" si="24"/>
        <v>5.6000000000000005</v>
      </c>
      <c r="R48" s="588">
        <f t="shared" si="24"/>
        <v>5.6000000000000005</v>
      </c>
      <c r="S48" s="588">
        <f t="shared" si="24"/>
        <v>5.6000000000000005</v>
      </c>
      <c r="T48" s="588">
        <f t="shared" si="24"/>
        <v>2.625</v>
      </c>
      <c r="U48" s="89"/>
      <c r="V48" s="65"/>
      <c r="W48" s="89"/>
    </row>
    <row r="49" spans="1:22" s="64" customFormat="1" ht="12" customHeight="1" x14ac:dyDescent="0.2">
      <c r="A49" s="456" t="s">
        <v>122</v>
      </c>
      <c r="B49" s="673"/>
      <c r="C49" s="673"/>
      <c r="D49" s="673"/>
      <c r="E49" s="673"/>
      <c r="F49" s="673"/>
      <c r="G49" s="673"/>
      <c r="H49" s="673"/>
      <c r="I49" s="673"/>
      <c r="J49" s="673"/>
      <c r="K49" s="673"/>
      <c r="L49" s="673"/>
      <c r="M49" s="673"/>
      <c r="N49" s="674"/>
      <c r="O49" s="674"/>
      <c r="P49" s="674"/>
      <c r="Q49" s="674"/>
      <c r="R49" s="674"/>
      <c r="S49" s="674"/>
      <c r="T49" s="490"/>
      <c r="U49" s="93"/>
      <c r="V49" s="65"/>
    </row>
    <row r="50" spans="1:22" s="64" customFormat="1" ht="12" customHeight="1" x14ac:dyDescent="0.2">
      <c r="A50" s="91" t="s">
        <v>123</v>
      </c>
      <c r="B50" s="111">
        <f>$B$93</f>
        <v>36</v>
      </c>
      <c r="C50" s="111">
        <f t="shared" ref="C50:S50" si="25">$B$93</f>
        <v>36</v>
      </c>
      <c r="D50" s="111">
        <f t="shared" si="25"/>
        <v>36</v>
      </c>
      <c r="E50" s="111">
        <f t="shared" si="25"/>
        <v>36</v>
      </c>
      <c r="F50" s="111">
        <f t="shared" si="25"/>
        <v>36</v>
      </c>
      <c r="G50" s="111">
        <f t="shared" si="25"/>
        <v>36</v>
      </c>
      <c r="H50" s="111">
        <f t="shared" si="25"/>
        <v>36</v>
      </c>
      <c r="I50" s="111">
        <f t="shared" si="25"/>
        <v>36</v>
      </c>
      <c r="J50" s="111">
        <f t="shared" si="25"/>
        <v>36</v>
      </c>
      <c r="K50" s="111">
        <f t="shared" si="25"/>
        <v>36</v>
      </c>
      <c r="L50" s="111">
        <f t="shared" si="25"/>
        <v>36</v>
      </c>
      <c r="M50" s="111">
        <f t="shared" si="25"/>
        <v>36</v>
      </c>
      <c r="N50" s="111">
        <f t="shared" si="25"/>
        <v>36</v>
      </c>
      <c r="O50" s="111">
        <f t="shared" si="25"/>
        <v>36</v>
      </c>
      <c r="P50" s="111">
        <f t="shared" si="25"/>
        <v>36</v>
      </c>
      <c r="Q50" s="111">
        <f t="shared" si="25"/>
        <v>36</v>
      </c>
      <c r="R50" s="111">
        <f t="shared" si="25"/>
        <v>36</v>
      </c>
      <c r="S50" s="190">
        <f t="shared" si="25"/>
        <v>36</v>
      </c>
      <c r="T50" s="111">
        <v>36</v>
      </c>
      <c r="U50" s="94"/>
      <c r="V50" s="65"/>
    </row>
    <row r="51" spans="1:22" s="64" customFormat="1" ht="12" customHeight="1" x14ac:dyDescent="0.2">
      <c r="A51" s="229" t="s">
        <v>124</v>
      </c>
      <c r="B51" s="92">
        <f>ROUND(IF(B$85&gt;=80,$B$94,IF(AND(B$85&lt;80,B$85&gt;=60),$B$94*0.9167,$B$94*0.8333)),0)</f>
        <v>36</v>
      </c>
      <c r="C51" s="92">
        <f t="shared" ref="C51:T51" si="26">ROUND(IF(C$85&gt;=80,$B$94,IF(AND(C$85&lt;80,C$85&gt;=60),$B$94*0.9167,$B$94*0.8333)),0)</f>
        <v>30</v>
      </c>
      <c r="D51" s="92">
        <f t="shared" si="26"/>
        <v>30</v>
      </c>
      <c r="E51" s="92">
        <f t="shared" si="26"/>
        <v>30</v>
      </c>
      <c r="F51" s="92">
        <f t="shared" si="26"/>
        <v>30</v>
      </c>
      <c r="G51" s="92">
        <f t="shared" si="26"/>
        <v>30</v>
      </c>
      <c r="H51" s="92">
        <f t="shared" si="26"/>
        <v>30</v>
      </c>
      <c r="I51" s="92">
        <f t="shared" si="26"/>
        <v>30</v>
      </c>
      <c r="J51" s="92">
        <f t="shared" si="26"/>
        <v>33</v>
      </c>
      <c r="K51" s="92">
        <f t="shared" si="26"/>
        <v>33</v>
      </c>
      <c r="L51" s="92">
        <f t="shared" si="26"/>
        <v>33</v>
      </c>
      <c r="M51" s="92">
        <f t="shared" si="26"/>
        <v>36</v>
      </c>
      <c r="N51" s="92">
        <f t="shared" si="26"/>
        <v>36</v>
      </c>
      <c r="O51" s="92">
        <f t="shared" si="26"/>
        <v>36</v>
      </c>
      <c r="P51" s="92">
        <f t="shared" si="26"/>
        <v>36</v>
      </c>
      <c r="Q51" s="92">
        <f t="shared" si="26"/>
        <v>36</v>
      </c>
      <c r="R51" s="92">
        <f t="shared" si="26"/>
        <v>36</v>
      </c>
      <c r="S51" s="193">
        <f t="shared" si="26"/>
        <v>36</v>
      </c>
      <c r="T51" s="92">
        <f t="shared" si="26"/>
        <v>30</v>
      </c>
      <c r="U51" s="94"/>
      <c r="V51" s="65"/>
    </row>
    <row r="52" spans="1:22" s="64" customFormat="1" ht="12" customHeight="1" x14ac:dyDescent="0.2">
      <c r="A52" s="293" t="s">
        <v>125</v>
      </c>
      <c r="B52" s="449">
        <f t="shared" ref="B52:T52" si="27">ROUNDUP(IF(B$13="Deploy", MAX((B$87/100)*$B95,$B95),(B$87/100)*$B95),0)</f>
        <v>3</v>
      </c>
      <c r="C52" s="449">
        <f t="shared" si="27"/>
        <v>2</v>
      </c>
      <c r="D52" s="449">
        <f t="shared" si="27"/>
        <v>1</v>
      </c>
      <c r="E52" s="449">
        <f t="shared" si="27"/>
        <v>1</v>
      </c>
      <c r="F52" s="449">
        <f t="shared" si="27"/>
        <v>1</v>
      </c>
      <c r="G52" s="449">
        <f t="shared" si="27"/>
        <v>2</v>
      </c>
      <c r="H52" s="449">
        <f t="shared" si="27"/>
        <v>2</v>
      </c>
      <c r="I52" s="449">
        <f t="shared" si="27"/>
        <v>3</v>
      </c>
      <c r="J52" s="449">
        <f t="shared" si="27"/>
        <v>3</v>
      </c>
      <c r="K52" s="449">
        <f t="shared" si="27"/>
        <v>3</v>
      </c>
      <c r="L52" s="449">
        <f t="shared" si="27"/>
        <v>3</v>
      </c>
      <c r="M52" s="449">
        <f t="shared" si="27"/>
        <v>3</v>
      </c>
      <c r="N52" s="449">
        <f t="shared" si="27"/>
        <v>3</v>
      </c>
      <c r="O52" s="449">
        <f t="shared" si="27"/>
        <v>3</v>
      </c>
      <c r="P52" s="449">
        <f t="shared" si="27"/>
        <v>3</v>
      </c>
      <c r="Q52" s="449">
        <f t="shared" si="27"/>
        <v>3</v>
      </c>
      <c r="R52" s="449">
        <f t="shared" si="27"/>
        <v>3</v>
      </c>
      <c r="S52" s="488">
        <f t="shared" si="27"/>
        <v>3</v>
      </c>
      <c r="T52" s="449">
        <f t="shared" si="27"/>
        <v>1</v>
      </c>
      <c r="U52" s="94"/>
      <c r="V52" s="65"/>
    </row>
    <row r="53" spans="1:22" s="64" customFormat="1" ht="12" customHeight="1" x14ac:dyDescent="0.2">
      <c r="A53" s="293" t="s">
        <v>126</v>
      </c>
      <c r="B53" s="118">
        <f t="shared" ref="B53:T53" si="28">ROUND(IF(B$87&gt;=80,$B$94*$G$95,IF(AND(B$87&lt;80,B$87&gt;=60),$B$94*$H$95,$B$94*$I$95)),0)</f>
        <v>14</v>
      </c>
      <c r="C53" s="118">
        <f t="shared" si="28"/>
        <v>9</v>
      </c>
      <c r="D53" s="118">
        <f t="shared" si="28"/>
        <v>9</v>
      </c>
      <c r="E53" s="118">
        <f t="shared" si="28"/>
        <v>9</v>
      </c>
      <c r="F53" s="118">
        <f t="shared" si="28"/>
        <v>9</v>
      </c>
      <c r="G53" s="118">
        <f t="shared" si="28"/>
        <v>9</v>
      </c>
      <c r="H53" s="118">
        <f t="shared" si="28"/>
        <v>9</v>
      </c>
      <c r="I53" s="118">
        <f t="shared" si="28"/>
        <v>12</v>
      </c>
      <c r="J53" s="118">
        <f t="shared" si="28"/>
        <v>12</v>
      </c>
      <c r="K53" s="118">
        <f t="shared" si="28"/>
        <v>14</v>
      </c>
      <c r="L53" s="118">
        <f t="shared" si="28"/>
        <v>14</v>
      </c>
      <c r="M53" s="118">
        <f t="shared" si="28"/>
        <v>14</v>
      </c>
      <c r="N53" s="118">
        <f t="shared" si="28"/>
        <v>14</v>
      </c>
      <c r="O53" s="118">
        <f t="shared" si="28"/>
        <v>14</v>
      </c>
      <c r="P53" s="118">
        <f t="shared" si="28"/>
        <v>14</v>
      </c>
      <c r="Q53" s="118">
        <f t="shared" si="28"/>
        <v>14</v>
      </c>
      <c r="R53" s="118">
        <f t="shared" si="28"/>
        <v>14</v>
      </c>
      <c r="S53" s="192">
        <f t="shared" si="28"/>
        <v>14</v>
      </c>
      <c r="T53" s="118">
        <f t="shared" si="28"/>
        <v>9</v>
      </c>
      <c r="U53" s="94"/>
      <c r="V53" s="65"/>
    </row>
    <row r="54" spans="1:22" s="64" customFormat="1" ht="12" customHeight="1" x14ac:dyDescent="0.2">
      <c r="A54" s="293" t="s">
        <v>127</v>
      </c>
      <c r="B54" s="118">
        <f t="shared" ref="B54:T54" si="29">ROUND(IF(B$87&gt;=80,$B$94*$G$96,IF(AND(B$87&lt;80,B$87&gt;=60),$B$94*$H$96,$B$94*$I$96)),0)</f>
        <v>29</v>
      </c>
      <c r="C54" s="118">
        <f t="shared" si="29"/>
        <v>19</v>
      </c>
      <c r="D54" s="118">
        <f t="shared" si="29"/>
        <v>19</v>
      </c>
      <c r="E54" s="118">
        <f t="shared" si="29"/>
        <v>19</v>
      </c>
      <c r="F54" s="118">
        <f t="shared" si="29"/>
        <v>19</v>
      </c>
      <c r="G54" s="118">
        <f t="shared" si="29"/>
        <v>19</v>
      </c>
      <c r="H54" s="118">
        <f t="shared" si="29"/>
        <v>19</v>
      </c>
      <c r="I54" s="118">
        <f t="shared" si="29"/>
        <v>24</v>
      </c>
      <c r="J54" s="118">
        <f t="shared" si="29"/>
        <v>24</v>
      </c>
      <c r="K54" s="118">
        <f t="shared" si="29"/>
        <v>29</v>
      </c>
      <c r="L54" s="118">
        <f t="shared" si="29"/>
        <v>29</v>
      </c>
      <c r="M54" s="118">
        <f t="shared" si="29"/>
        <v>29</v>
      </c>
      <c r="N54" s="118">
        <f t="shared" si="29"/>
        <v>29</v>
      </c>
      <c r="O54" s="118">
        <f t="shared" si="29"/>
        <v>29</v>
      </c>
      <c r="P54" s="118">
        <f t="shared" si="29"/>
        <v>29</v>
      </c>
      <c r="Q54" s="118">
        <f t="shared" si="29"/>
        <v>29</v>
      </c>
      <c r="R54" s="118">
        <f t="shared" si="29"/>
        <v>29</v>
      </c>
      <c r="S54" s="192">
        <f t="shared" si="29"/>
        <v>29</v>
      </c>
      <c r="T54" s="118">
        <f t="shared" si="29"/>
        <v>19</v>
      </c>
      <c r="U54" s="94"/>
      <c r="V54" s="65"/>
    </row>
    <row r="55" spans="1:22" s="64" customFormat="1" ht="12" customHeight="1" x14ac:dyDescent="0.2">
      <c r="A55" s="293" t="s">
        <v>128</v>
      </c>
      <c r="B55" s="118">
        <f>ROUND(IF(B$87&gt;=80,$B$94*$G$97,IF(AND(B$87&lt;80,B$87&gt;=60),$B$94*$H$97,$B$94*$I$97)),0)</f>
        <v>36</v>
      </c>
      <c r="C55" s="118">
        <f t="shared" ref="C55:T55" si="30">ROUND(IF(C$87&gt;=80,$B$94*$G$97,IF(AND(C$87&lt;80,C$87&gt;=60),$B$94*$H$97,$B$94*$I$97)),0)</f>
        <v>24</v>
      </c>
      <c r="D55" s="118">
        <f t="shared" si="30"/>
        <v>24</v>
      </c>
      <c r="E55" s="118">
        <f t="shared" si="30"/>
        <v>24</v>
      </c>
      <c r="F55" s="118">
        <f t="shared" si="30"/>
        <v>24</v>
      </c>
      <c r="G55" s="118">
        <f t="shared" si="30"/>
        <v>24</v>
      </c>
      <c r="H55" s="118">
        <f t="shared" si="30"/>
        <v>24</v>
      </c>
      <c r="I55" s="118">
        <f t="shared" si="30"/>
        <v>30</v>
      </c>
      <c r="J55" s="118">
        <f t="shared" si="30"/>
        <v>30</v>
      </c>
      <c r="K55" s="118">
        <f t="shared" si="30"/>
        <v>36</v>
      </c>
      <c r="L55" s="118">
        <f t="shared" si="30"/>
        <v>36</v>
      </c>
      <c r="M55" s="118">
        <f t="shared" si="30"/>
        <v>36</v>
      </c>
      <c r="N55" s="118">
        <f t="shared" si="30"/>
        <v>36</v>
      </c>
      <c r="O55" s="118">
        <f t="shared" si="30"/>
        <v>36</v>
      </c>
      <c r="P55" s="118">
        <f t="shared" si="30"/>
        <v>36</v>
      </c>
      <c r="Q55" s="118">
        <f t="shared" si="30"/>
        <v>36</v>
      </c>
      <c r="R55" s="118">
        <f t="shared" si="30"/>
        <v>36</v>
      </c>
      <c r="S55" s="118">
        <f t="shared" si="30"/>
        <v>36</v>
      </c>
      <c r="T55" s="118">
        <f t="shared" si="30"/>
        <v>24</v>
      </c>
      <c r="U55" s="94"/>
      <c r="V55" s="65"/>
    </row>
    <row r="56" spans="1:22" s="64" customFormat="1" ht="12" customHeight="1" x14ac:dyDescent="0.2">
      <c r="A56" s="83" t="s">
        <v>129</v>
      </c>
      <c r="B56" s="92">
        <f>$B$98</f>
        <v>26</v>
      </c>
      <c r="C56" s="92">
        <f t="shared" ref="C56:T56" si="31">$B$98</f>
        <v>26</v>
      </c>
      <c r="D56" s="92">
        <f t="shared" si="31"/>
        <v>26</v>
      </c>
      <c r="E56" s="92">
        <f t="shared" si="31"/>
        <v>26</v>
      </c>
      <c r="F56" s="92">
        <f t="shared" si="31"/>
        <v>26</v>
      </c>
      <c r="G56" s="92">
        <f t="shared" si="31"/>
        <v>26</v>
      </c>
      <c r="H56" s="92">
        <f t="shared" si="31"/>
        <v>26</v>
      </c>
      <c r="I56" s="92">
        <f t="shared" si="31"/>
        <v>26</v>
      </c>
      <c r="J56" s="92">
        <f t="shared" si="31"/>
        <v>26</v>
      </c>
      <c r="K56" s="92">
        <f t="shared" si="31"/>
        <v>26</v>
      </c>
      <c r="L56" s="92">
        <f t="shared" si="31"/>
        <v>26</v>
      </c>
      <c r="M56" s="92">
        <f t="shared" si="31"/>
        <v>26</v>
      </c>
      <c r="N56" s="92">
        <f t="shared" si="31"/>
        <v>26</v>
      </c>
      <c r="O56" s="92">
        <f t="shared" si="31"/>
        <v>26</v>
      </c>
      <c r="P56" s="92">
        <f t="shared" si="31"/>
        <v>26</v>
      </c>
      <c r="Q56" s="92">
        <f t="shared" si="31"/>
        <v>26</v>
      </c>
      <c r="R56" s="92">
        <f t="shared" si="31"/>
        <v>26</v>
      </c>
      <c r="S56" s="193">
        <f t="shared" si="31"/>
        <v>26</v>
      </c>
      <c r="T56" s="92">
        <f t="shared" si="31"/>
        <v>26</v>
      </c>
      <c r="U56" s="94"/>
      <c r="V56" s="65"/>
    </row>
    <row r="57" spans="1:22" s="64" customFormat="1" ht="12" customHeight="1" x14ac:dyDescent="0.2">
      <c r="A57" s="83" t="s">
        <v>130</v>
      </c>
      <c r="B57" s="92">
        <f>ROUND(IF(B$87&gt;=80,$B$99,IF(AND(B$87&lt;80,B$87&gt;=60),$B$99*0.9167,$B$99*0.8333)),0)</f>
        <v>24</v>
      </c>
      <c r="C57" s="92">
        <f t="shared" ref="C57:T57" si="32">ROUND(IF(C$87&gt;=80,$B$99,IF(AND(C$87&lt;80,C$87&gt;=60),$B$99*0.9167,$B$99*0.8333)),0)</f>
        <v>20</v>
      </c>
      <c r="D57" s="92">
        <f t="shared" si="32"/>
        <v>20</v>
      </c>
      <c r="E57" s="92">
        <f t="shared" si="32"/>
        <v>20</v>
      </c>
      <c r="F57" s="92">
        <f t="shared" si="32"/>
        <v>20</v>
      </c>
      <c r="G57" s="92">
        <f t="shared" si="32"/>
        <v>20</v>
      </c>
      <c r="H57" s="92">
        <f t="shared" si="32"/>
        <v>20</v>
      </c>
      <c r="I57" s="92">
        <f t="shared" si="32"/>
        <v>22</v>
      </c>
      <c r="J57" s="92">
        <f t="shared" si="32"/>
        <v>22</v>
      </c>
      <c r="K57" s="92">
        <f t="shared" si="32"/>
        <v>24</v>
      </c>
      <c r="L57" s="92">
        <f t="shared" si="32"/>
        <v>24</v>
      </c>
      <c r="M57" s="92">
        <f t="shared" si="32"/>
        <v>24</v>
      </c>
      <c r="N57" s="92">
        <f t="shared" si="32"/>
        <v>24</v>
      </c>
      <c r="O57" s="92">
        <f t="shared" si="32"/>
        <v>24</v>
      </c>
      <c r="P57" s="92">
        <f t="shared" si="32"/>
        <v>24</v>
      </c>
      <c r="Q57" s="92">
        <f t="shared" si="32"/>
        <v>24</v>
      </c>
      <c r="R57" s="92">
        <f t="shared" si="32"/>
        <v>24</v>
      </c>
      <c r="S57" s="193">
        <f t="shared" si="32"/>
        <v>24</v>
      </c>
      <c r="T57" s="92">
        <f t="shared" si="32"/>
        <v>20</v>
      </c>
      <c r="U57" s="94"/>
      <c r="V57" s="65"/>
    </row>
    <row r="58" spans="1:22" s="64" customFormat="1" ht="12" customHeight="1" x14ac:dyDescent="0.2">
      <c r="A58" s="293" t="s">
        <v>131</v>
      </c>
      <c r="B58" s="449">
        <f t="shared" ref="B58:T58" si="33">ROUNDUP(IF(B$13="Deploy", MAX((B$87/100)*$B100,$B100),(B$87/100)*$B100),0)</f>
        <v>3</v>
      </c>
      <c r="C58" s="449">
        <f t="shared" si="33"/>
        <v>2</v>
      </c>
      <c r="D58" s="449">
        <f t="shared" si="33"/>
        <v>1</v>
      </c>
      <c r="E58" s="449">
        <f t="shared" si="33"/>
        <v>1</v>
      </c>
      <c r="F58" s="449">
        <f t="shared" si="33"/>
        <v>1</v>
      </c>
      <c r="G58" s="449">
        <f t="shared" si="33"/>
        <v>2</v>
      </c>
      <c r="H58" s="449">
        <f t="shared" si="33"/>
        <v>2</v>
      </c>
      <c r="I58" s="449">
        <f t="shared" si="33"/>
        <v>3</v>
      </c>
      <c r="J58" s="449">
        <f t="shared" si="33"/>
        <v>3</v>
      </c>
      <c r="K58" s="449">
        <f t="shared" si="33"/>
        <v>3</v>
      </c>
      <c r="L58" s="449">
        <f t="shared" si="33"/>
        <v>3</v>
      </c>
      <c r="M58" s="449">
        <f t="shared" si="33"/>
        <v>3</v>
      </c>
      <c r="N58" s="449">
        <f t="shared" si="33"/>
        <v>3</v>
      </c>
      <c r="O58" s="449">
        <f t="shared" si="33"/>
        <v>3</v>
      </c>
      <c r="P58" s="449">
        <f t="shared" si="33"/>
        <v>3</v>
      </c>
      <c r="Q58" s="449">
        <f t="shared" si="33"/>
        <v>3</v>
      </c>
      <c r="R58" s="449">
        <f t="shared" si="33"/>
        <v>3</v>
      </c>
      <c r="S58" s="488">
        <f t="shared" si="33"/>
        <v>3</v>
      </c>
      <c r="T58" s="449">
        <f t="shared" si="33"/>
        <v>1</v>
      </c>
      <c r="U58" s="94"/>
      <c r="V58" s="65"/>
    </row>
    <row r="59" spans="1:22" s="64" customFormat="1" ht="12" customHeight="1" x14ac:dyDescent="0.2">
      <c r="A59" s="293" t="s">
        <v>132</v>
      </c>
      <c r="B59" s="118">
        <f t="shared" ref="B59:T59" si="34">ROUND(IF(B$87&gt;=80,$B$99*$G$98,IF(AND(B$87&lt;80,B$87&gt;=60),$B$99*$H$98,$B$99*$I$98)),0)</f>
        <v>13</v>
      </c>
      <c r="C59" s="118">
        <f t="shared" si="34"/>
        <v>9</v>
      </c>
      <c r="D59" s="118">
        <f t="shared" si="34"/>
        <v>9</v>
      </c>
      <c r="E59" s="118">
        <f t="shared" si="34"/>
        <v>9</v>
      </c>
      <c r="F59" s="118">
        <f t="shared" si="34"/>
        <v>9</v>
      </c>
      <c r="G59" s="118">
        <f t="shared" si="34"/>
        <v>9</v>
      </c>
      <c r="H59" s="118">
        <f t="shared" si="34"/>
        <v>9</v>
      </c>
      <c r="I59" s="118">
        <f t="shared" si="34"/>
        <v>11</v>
      </c>
      <c r="J59" s="118">
        <f t="shared" si="34"/>
        <v>11</v>
      </c>
      <c r="K59" s="118">
        <f t="shared" si="34"/>
        <v>13</v>
      </c>
      <c r="L59" s="118">
        <f t="shared" si="34"/>
        <v>13</v>
      </c>
      <c r="M59" s="118">
        <f t="shared" si="34"/>
        <v>13</v>
      </c>
      <c r="N59" s="118">
        <f t="shared" si="34"/>
        <v>13</v>
      </c>
      <c r="O59" s="118">
        <f t="shared" si="34"/>
        <v>13</v>
      </c>
      <c r="P59" s="118">
        <f t="shared" si="34"/>
        <v>13</v>
      </c>
      <c r="Q59" s="118">
        <f t="shared" si="34"/>
        <v>13</v>
      </c>
      <c r="R59" s="118">
        <f t="shared" si="34"/>
        <v>13</v>
      </c>
      <c r="S59" s="192">
        <f t="shared" si="34"/>
        <v>13</v>
      </c>
      <c r="T59" s="118">
        <f t="shared" si="34"/>
        <v>9</v>
      </c>
      <c r="U59" s="94"/>
      <c r="V59" s="65"/>
    </row>
    <row r="60" spans="1:22" s="64" customFormat="1" ht="12" customHeight="1" x14ac:dyDescent="0.2">
      <c r="A60" s="293" t="s">
        <v>133</v>
      </c>
      <c r="B60" s="118">
        <f t="shared" ref="B60:T60" si="35">ROUND(IF(B$87&gt;=80,$B$99*$G$99,IF(AND(B$87&lt;80,B$87&gt;=60),$B$99*$H$99,$B$99*$I$99)),0)</f>
        <v>24</v>
      </c>
      <c r="C60" s="118">
        <f t="shared" si="35"/>
        <v>16</v>
      </c>
      <c r="D60" s="118">
        <f t="shared" si="35"/>
        <v>16</v>
      </c>
      <c r="E60" s="118">
        <f t="shared" si="35"/>
        <v>16</v>
      </c>
      <c r="F60" s="118">
        <f t="shared" si="35"/>
        <v>16</v>
      </c>
      <c r="G60" s="118">
        <f t="shared" si="35"/>
        <v>16</v>
      </c>
      <c r="H60" s="118">
        <f t="shared" si="35"/>
        <v>16</v>
      </c>
      <c r="I60" s="118">
        <f t="shared" si="35"/>
        <v>20</v>
      </c>
      <c r="J60" s="118">
        <f t="shared" si="35"/>
        <v>20</v>
      </c>
      <c r="K60" s="118">
        <f t="shared" si="35"/>
        <v>24</v>
      </c>
      <c r="L60" s="118">
        <f t="shared" si="35"/>
        <v>24</v>
      </c>
      <c r="M60" s="118">
        <f t="shared" si="35"/>
        <v>24</v>
      </c>
      <c r="N60" s="118">
        <f t="shared" si="35"/>
        <v>24</v>
      </c>
      <c r="O60" s="118">
        <f t="shared" si="35"/>
        <v>24</v>
      </c>
      <c r="P60" s="118">
        <f t="shared" si="35"/>
        <v>24</v>
      </c>
      <c r="Q60" s="118">
        <f t="shared" si="35"/>
        <v>24</v>
      </c>
      <c r="R60" s="118">
        <f t="shared" si="35"/>
        <v>24</v>
      </c>
      <c r="S60" s="192">
        <f t="shared" si="35"/>
        <v>24</v>
      </c>
      <c r="T60" s="118">
        <f t="shared" si="35"/>
        <v>16</v>
      </c>
      <c r="U60" s="94"/>
      <c r="V60" s="65"/>
    </row>
    <row r="61" spans="1:22" s="64" customFormat="1" ht="12" customHeight="1" x14ac:dyDescent="0.2">
      <c r="A61" s="83" t="s">
        <v>134</v>
      </c>
      <c r="B61" s="92">
        <f>$B$103</f>
        <v>26</v>
      </c>
      <c r="C61" s="92">
        <f t="shared" ref="C61:T61" si="36">$B$103</f>
        <v>26</v>
      </c>
      <c r="D61" s="92">
        <f t="shared" si="36"/>
        <v>26</v>
      </c>
      <c r="E61" s="92">
        <f t="shared" si="36"/>
        <v>26</v>
      </c>
      <c r="F61" s="92">
        <f t="shared" si="36"/>
        <v>26</v>
      </c>
      <c r="G61" s="92">
        <f t="shared" si="36"/>
        <v>26</v>
      </c>
      <c r="H61" s="92">
        <f t="shared" si="36"/>
        <v>26</v>
      </c>
      <c r="I61" s="92">
        <f t="shared" si="36"/>
        <v>26</v>
      </c>
      <c r="J61" s="92">
        <f t="shared" si="36"/>
        <v>26</v>
      </c>
      <c r="K61" s="92">
        <f t="shared" si="36"/>
        <v>26</v>
      </c>
      <c r="L61" s="92">
        <f t="shared" si="36"/>
        <v>26</v>
      </c>
      <c r="M61" s="92">
        <f t="shared" si="36"/>
        <v>26</v>
      </c>
      <c r="N61" s="92">
        <f t="shared" si="36"/>
        <v>26</v>
      </c>
      <c r="O61" s="92">
        <f t="shared" si="36"/>
        <v>26</v>
      </c>
      <c r="P61" s="92">
        <f t="shared" si="36"/>
        <v>26</v>
      </c>
      <c r="Q61" s="92">
        <f t="shared" si="36"/>
        <v>26</v>
      </c>
      <c r="R61" s="92">
        <f t="shared" si="36"/>
        <v>26</v>
      </c>
      <c r="S61" s="193">
        <f t="shared" si="36"/>
        <v>26</v>
      </c>
      <c r="T61" s="92">
        <f t="shared" si="36"/>
        <v>26</v>
      </c>
      <c r="U61" s="94"/>
      <c r="V61" s="65"/>
    </row>
    <row r="62" spans="1:22" s="64" customFormat="1" ht="12" customHeight="1" x14ac:dyDescent="0.2">
      <c r="A62" s="83" t="s">
        <v>135</v>
      </c>
      <c r="B62" s="92">
        <f>ROUND(IF(B$87&gt;=80,$B$104,IF(AND(B$87&lt;80,B$87&gt;=60),$B$104*0.9167,$B$104*0.8333)),0)</f>
        <v>24</v>
      </c>
      <c r="C62" s="92">
        <f t="shared" ref="C62:T62" si="37">ROUND(IF(C$87&gt;=80,$B$104,IF(AND(C$87&lt;80,C$87&gt;=60),$B$104*0.9167,$B$104*0.8333)),0)</f>
        <v>20</v>
      </c>
      <c r="D62" s="92">
        <f t="shared" si="37"/>
        <v>20</v>
      </c>
      <c r="E62" s="92">
        <f t="shared" si="37"/>
        <v>20</v>
      </c>
      <c r="F62" s="92">
        <f t="shared" si="37"/>
        <v>20</v>
      </c>
      <c r="G62" s="92">
        <f t="shared" si="37"/>
        <v>20</v>
      </c>
      <c r="H62" s="92">
        <f t="shared" si="37"/>
        <v>20</v>
      </c>
      <c r="I62" s="92">
        <f t="shared" si="37"/>
        <v>22</v>
      </c>
      <c r="J62" s="92">
        <f t="shared" si="37"/>
        <v>22</v>
      </c>
      <c r="K62" s="92">
        <f t="shared" si="37"/>
        <v>24</v>
      </c>
      <c r="L62" s="92">
        <f t="shared" si="37"/>
        <v>24</v>
      </c>
      <c r="M62" s="92">
        <f t="shared" si="37"/>
        <v>24</v>
      </c>
      <c r="N62" s="92">
        <f t="shared" si="37"/>
        <v>24</v>
      </c>
      <c r="O62" s="92">
        <f t="shared" si="37"/>
        <v>24</v>
      </c>
      <c r="P62" s="92">
        <f t="shared" si="37"/>
        <v>24</v>
      </c>
      <c r="Q62" s="92">
        <f t="shared" si="37"/>
        <v>24</v>
      </c>
      <c r="R62" s="92">
        <f t="shared" si="37"/>
        <v>24</v>
      </c>
      <c r="S62" s="193">
        <f t="shared" si="37"/>
        <v>24</v>
      </c>
      <c r="T62" s="92">
        <f t="shared" si="37"/>
        <v>20</v>
      </c>
      <c r="U62" s="94"/>
      <c r="V62" s="65"/>
    </row>
    <row r="63" spans="1:22" s="64" customFormat="1" ht="12" customHeight="1" x14ac:dyDescent="0.2">
      <c r="A63" s="293" t="s">
        <v>136</v>
      </c>
      <c r="B63" s="449">
        <f t="shared" ref="B63:T63" si="38">ROUNDUP(IF(B$13="Deploy", MAX((B$87/100)*$B105,$B105),(B$87/100)*$B105),0)</f>
        <v>3</v>
      </c>
      <c r="C63" s="449">
        <f t="shared" si="38"/>
        <v>2</v>
      </c>
      <c r="D63" s="449">
        <f t="shared" si="38"/>
        <v>1</v>
      </c>
      <c r="E63" s="449">
        <f t="shared" si="38"/>
        <v>1</v>
      </c>
      <c r="F63" s="449">
        <f t="shared" si="38"/>
        <v>1</v>
      </c>
      <c r="G63" s="449">
        <f t="shared" si="38"/>
        <v>2</v>
      </c>
      <c r="H63" s="449">
        <f t="shared" si="38"/>
        <v>2</v>
      </c>
      <c r="I63" s="449">
        <f t="shared" si="38"/>
        <v>3</v>
      </c>
      <c r="J63" s="449">
        <f t="shared" si="38"/>
        <v>3</v>
      </c>
      <c r="K63" s="449">
        <f t="shared" si="38"/>
        <v>3</v>
      </c>
      <c r="L63" s="449">
        <f t="shared" si="38"/>
        <v>3</v>
      </c>
      <c r="M63" s="449">
        <f t="shared" si="38"/>
        <v>3</v>
      </c>
      <c r="N63" s="449">
        <f t="shared" si="38"/>
        <v>3</v>
      </c>
      <c r="O63" s="449">
        <f t="shared" si="38"/>
        <v>3</v>
      </c>
      <c r="P63" s="449">
        <f t="shared" si="38"/>
        <v>3</v>
      </c>
      <c r="Q63" s="449">
        <f t="shared" si="38"/>
        <v>3</v>
      </c>
      <c r="R63" s="449">
        <f t="shared" si="38"/>
        <v>3</v>
      </c>
      <c r="S63" s="488">
        <f t="shared" si="38"/>
        <v>3</v>
      </c>
      <c r="T63" s="449">
        <f t="shared" si="38"/>
        <v>1</v>
      </c>
      <c r="U63" s="94"/>
      <c r="V63" s="65"/>
    </row>
    <row r="64" spans="1:22" s="64" customFormat="1" ht="12" customHeight="1" x14ac:dyDescent="0.2">
      <c r="A64" s="293" t="s">
        <v>137</v>
      </c>
      <c r="B64" s="118">
        <f>ROUND(IF(B$87&gt;=80,$B$104*$G$100,IF(AND(B$87&lt;80,B$87&gt;=60),$B$104*$H$100,$B$104*$I$100)),0)</f>
        <v>13</v>
      </c>
      <c r="C64" s="118">
        <f t="shared" ref="C64:T64" si="39">ROUND(IF(C$87&gt;=80,$B$109*$G$102,IF(AND(C$87&lt;80,C$87&gt;=60),$B$109*$H$102,$B$109*$I$102)),0)</f>
        <v>13</v>
      </c>
      <c r="D64" s="118">
        <f t="shared" si="39"/>
        <v>13</v>
      </c>
      <c r="E64" s="118">
        <f t="shared" si="39"/>
        <v>13</v>
      </c>
      <c r="F64" s="118">
        <f t="shared" si="39"/>
        <v>13</v>
      </c>
      <c r="G64" s="118">
        <f t="shared" si="39"/>
        <v>13</v>
      </c>
      <c r="H64" s="118">
        <f t="shared" si="39"/>
        <v>13</v>
      </c>
      <c r="I64" s="118">
        <f t="shared" si="39"/>
        <v>17</v>
      </c>
      <c r="J64" s="118">
        <f t="shared" si="39"/>
        <v>17</v>
      </c>
      <c r="K64" s="118">
        <f t="shared" si="39"/>
        <v>20</v>
      </c>
      <c r="L64" s="118">
        <f t="shared" si="39"/>
        <v>20</v>
      </c>
      <c r="M64" s="118">
        <f t="shared" si="39"/>
        <v>20</v>
      </c>
      <c r="N64" s="118">
        <f t="shared" si="39"/>
        <v>20</v>
      </c>
      <c r="O64" s="118">
        <f t="shared" si="39"/>
        <v>20</v>
      </c>
      <c r="P64" s="118">
        <f t="shared" si="39"/>
        <v>20</v>
      </c>
      <c r="Q64" s="118">
        <f t="shared" si="39"/>
        <v>20</v>
      </c>
      <c r="R64" s="118">
        <f t="shared" si="39"/>
        <v>20</v>
      </c>
      <c r="S64" s="192">
        <f t="shared" si="39"/>
        <v>20</v>
      </c>
      <c r="T64" s="118">
        <f t="shared" si="39"/>
        <v>13</v>
      </c>
      <c r="U64" s="94"/>
      <c r="V64" s="65"/>
    </row>
    <row r="65" spans="1:22" s="64" customFormat="1" ht="12" customHeight="1" x14ac:dyDescent="0.2">
      <c r="A65" s="293" t="s">
        <v>138</v>
      </c>
      <c r="B65" s="118">
        <f>ROUND(IF(B$87&gt;=80,$B$104*$G$101,IF(AND(B$87&lt;80,B$87&gt;=60),$B$104*$H$101,$B$104*$I$101)),0)</f>
        <v>22</v>
      </c>
      <c r="C65" s="118">
        <f t="shared" ref="C65:T65" si="40">ROUND(IF(C$87&gt;=80,$B$109*$G$103,IF(AND(C$87&lt;80,C$87&gt;=60),$B$109*$H$103,$B$109*$I$103)),0)</f>
        <v>16</v>
      </c>
      <c r="D65" s="118">
        <f t="shared" si="40"/>
        <v>16</v>
      </c>
      <c r="E65" s="118">
        <f t="shared" si="40"/>
        <v>16</v>
      </c>
      <c r="F65" s="118">
        <f t="shared" si="40"/>
        <v>16</v>
      </c>
      <c r="G65" s="118">
        <f t="shared" si="40"/>
        <v>16</v>
      </c>
      <c r="H65" s="118">
        <f t="shared" si="40"/>
        <v>16</v>
      </c>
      <c r="I65" s="118">
        <f t="shared" si="40"/>
        <v>20</v>
      </c>
      <c r="J65" s="118">
        <f t="shared" si="40"/>
        <v>20</v>
      </c>
      <c r="K65" s="118">
        <f t="shared" si="40"/>
        <v>24</v>
      </c>
      <c r="L65" s="118">
        <f t="shared" si="40"/>
        <v>24</v>
      </c>
      <c r="M65" s="118">
        <f t="shared" si="40"/>
        <v>24</v>
      </c>
      <c r="N65" s="118">
        <f t="shared" si="40"/>
        <v>24</v>
      </c>
      <c r="O65" s="118">
        <f t="shared" si="40"/>
        <v>24</v>
      </c>
      <c r="P65" s="118">
        <f t="shared" si="40"/>
        <v>24</v>
      </c>
      <c r="Q65" s="118">
        <f t="shared" si="40"/>
        <v>24</v>
      </c>
      <c r="R65" s="118">
        <f t="shared" si="40"/>
        <v>24</v>
      </c>
      <c r="S65" s="192">
        <f t="shared" si="40"/>
        <v>24</v>
      </c>
      <c r="T65" s="118">
        <f t="shared" si="40"/>
        <v>16</v>
      </c>
      <c r="U65" s="94"/>
      <c r="V65" s="65"/>
    </row>
    <row r="66" spans="1:22" s="64" customFormat="1" ht="12" customHeight="1" x14ac:dyDescent="0.2">
      <c r="A66" s="83" t="s">
        <v>139</v>
      </c>
      <c r="B66" s="92">
        <f>$B$108</f>
        <v>26</v>
      </c>
      <c r="C66" s="92">
        <f t="shared" ref="C66:T66" si="41">$B$108</f>
        <v>26</v>
      </c>
      <c r="D66" s="92">
        <f t="shared" si="41"/>
        <v>26</v>
      </c>
      <c r="E66" s="92">
        <f t="shared" si="41"/>
        <v>26</v>
      </c>
      <c r="F66" s="92">
        <f t="shared" si="41"/>
        <v>26</v>
      </c>
      <c r="G66" s="92">
        <f t="shared" si="41"/>
        <v>26</v>
      </c>
      <c r="H66" s="92">
        <f t="shared" si="41"/>
        <v>26</v>
      </c>
      <c r="I66" s="92">
        <f t="shared" si="41"/>
        <v>26</v>
      </c>
      <c r="J66" s="92">
        <f t="shared" si="41"/>
        <v>26</v>
      </c>
      <c r="K66" s="92">
        <f t="shared" si="41"/>
        <v>26</v>
      </c>
      <c r="L66" s="92">
        <f t="shared" si="41"/>
        <v>26</v>
      </c>
      <c r="M66" s="92">
        <f t="shared" si="41"/>
        <v>26</v>
      </c>
      <c r="N66" s="92">
        <f t="shared" si="41"/>
        <v>26</v>
      </c>
      <c r="O66" s="92">
        <f t="shared" si="41"/>
        <v>26</v>
      </c>
      <c r="P66" s="92">
        <f t="shared" si="41"/>
        <v>26</v>
      </c>
      <c r="Q66" s="92">
        <f t="shared" si="41"/>
        <v>26</v>
      </c>
      <c r="R66" s="92">
        <f t="shared" si="41"/>
        <v>26</v>
      </c>
      <c r="S66" s="193">
        <f t="shared" si="41"/>
        <v>26</v>
      </c>
      <c r="T66" s="92">
        <f t="shared" si="41"/>
        <v>26</v>
      </c>
      <c r="U66" s="94"/>
      <c r="V66" s="65"/>
    </row>
    <row r="67" spans="1:22" s="64" customFormat="1" ht="12" customHeight="1" x14ac:dyDescent="0.2">
      <c r="A67" s="83" t="s">
        <v>140</v>
      </c>
      <c r="B67" s="92">
        <f>ROUND(IF(B$87&gt;=80,$B$109,IF(AND(B$87&lt;80,B$87&gt;=60),$B$109*0.9167,$B$109*0.8333)),0)</f>
        <v>24</v>
      </c>
      <c r="C67" s="92">
        <f t="shared" ref="C67:T67" si="42">ROUND(IF(C$87&gt;=80,$B$109,IF(AND(C$87&lt;80,C$87&gt;=60),$B$109*0.9167,$B$109*0.8333)),0)</f>
        <v>20</v>
      </c>
      <c r="D67" s="92">
        <f t="shared" si="42"/>
        <v>20</v>
      </c>
      <c r="E67" s="92">
        <f t="shared" si="42"/>
        <v>20</v>
      </c>
      <c r="F67" s="92">
        <f t="shared" si="42"/>
        <v>20</v>
      </c>
      <c r="G67" s="92">
        <f t="shared" si="42"/>
        <v>20</v>
      </c>
      <c r="H67" s="92">
        <f t="shared" si="42"/>
        <v>20</v>
      </c>
      <c r="I67" s="92">
        <f t="shared" si="42"/>
        <v>22</v>
      </c>
      <c r="J67" s="92">
        <f t="shared" si="42"/>
        <v>22</v>
      </c>
      <c r="K67" s="92">
        <f t="shared" si="42"/>
        <v>24</v>
      </c>
      <c r="L67" s="92">
        <f t="shared" si="42"/>
        <v>24</v>
      </c>
      <c r="M67" s="92">
        <f t="shared" si="42"/>
        <v>24</v>
      </c>
      <c r="N67" s="92">
        <f t="shared" si="42"/>
        <v>24</v>
      </c>
      <c r="O67" s="92">
        <f t="shared" si="42"/>
        <v>24</v>
      </c>
      <c r="P67" s="92">
        <f t="shared" si="42"/>
        <v>24</v>
      </c>
      <c r="Q67" s="92">
        <f t="shared" si="42"/>
        <v>24</v>
      </c>
      <c r="R67" s="92">
        <f t="shared" si="42"/>
        <v>24</v>
      </c>
      <c r="S67" s="193">
        <f t="shared" si="42"/>
        <v>24</v>
      </c>
      <c r="T67" s="92">
        <f t="shared" si="42"/>
        <v>20</v>
      </c>
      <c r="U67" s="94"/>
      <c r="V67" s="65"/>
    </row>
    <row r="68" spans="1:22" s="64" customFormat="1" ht="12" customHeight="1" x14ac:dyDescent="0.2">
      <c r="A68" s="293" t="s">
        <v>141</v>
      </c>
      <c r="B68" s="449">
        <f t="shared" ref="B68:T68" si="43">ROUNDUP(IF(B$13="Deploy", MAX((B$87/100)*$B110,$B110),(B$87/100)*$B110),0)</f>
        <v>3</v>
      </c>
      <c r="C68" s="449">
        <f t="shared" si="43"/>
        <v>2</v>
      </c>
      <c r="D68" s="449">
        <f t="shared" si="43"/>
        <v>1</v>
      </c>
      <c r="E68" s="449">
        <f t="shared" si="43"/>
        <v>1</v>
      </c>
      <c r="F68" s="449">
        <f t="shared" si="43"/>
        <v>1</v>
      </c>
      <c r="G68" s="449">
        <f t="shared" si="43"/>
        <v>2</v>
      </c>
      <c r="H68" s="449">
        <f t="shared" si="43"/>
        <v>2</v>
      </c>
      <c r="I68" s="449">
        <f t="shared" si="43"/>
        <v>3</v>
      </c>
      <c r="J68" s="449">
        <f t="shared" si="43"/>
        <v>3</v>
      </c>
      <c r="K68" s="449">
        <f t="shared" si="43"/>
        <v>3</v>
      </c>
      <c r="L68" s="449">
        <f t="shared" si="43"/>
        <v>3</v>
      </c>
      <c r="M68" s="449">
        <f t="shared" si="43"/>
        <v>3</v>
      </c>
      <c r="N68" s="449">
        <f t="shared" si="43"/>
        <v>3</v>
      </c>
      <c r="O68" s="449">
        <f t="shared" si="43"/>
        <v>3</v>
      </c>
      <c r="P68" s="449">
        <f t="shared" si="43"/>
        <v>3</v>
      </c>
      <c r="Q68" s="449">
        <f t="shared" si="43"/>
        <v>3</v>
      </c>
      <c r="R68" s="449">
        <f t="shared" si="43"/>
        <v>3</v>
      </c>
      <c r="S68" s="488">
        <f t="shared" si="43"/>
        <v>3</v>
      </c>
      <c r="T68" s="449">
        <f t="shared" si="43"/>
        <v>1</v>
      </c>
      <c r="U68" s="94"/>
      <c r="V68" s="65"/>
    </row>
    <row r="69" spans="1:22" s="64" customFormat="1" ht="12" customHeight="1" x14ac:dyDescent="0.2">
      <c r="A69" s="293" t="s">
        <v>142</v>
      </c>
      <c r="B69" s="118">
        <f>ROUND(IF(B$87&gt;=80,$B$109*$G$102,IF(AND(B$87&lt;80,B$87&gt;=60),$B$109*$H$102,$B$109*$I$102)),0)</f>
        <v>20</v>
      </c>
      <c r="C69" s="118">
        <f t="shared" ref="C69:T69" si="44">ROUND(IF(C$87&gt;=80,$B$104*$G$102,IF(AND(C$87&lt;80,C$87&gt;=60),$B$104*$H$102,$B$104*$I$102)),0)</f>
        <v>13</v>
      </c>
      <c r="D69" s="118">
        <f t="shared" si="44"/>
        <v>13</v>
      </c>
      <c r="E69" s="118">
        <f t="shared" si="44"/>
        <v>13</v>
      </c>
      <c r="F69" s="118">
        <f t="shared" si="44"/>
        <v>13</v>
      </c>
      <c r="G69" s="118">
        <f t="shared" si="44"/>
        <v>13</v>
      </c>
      <c r="H69" s="118">
        <f t="shared" si="44"/>
        <v>13</v>
      </c>
      <c r="I69" s="118">
        <f t="shared" si="44"/>
        <v>17</v>
      </c>
      <c r="J69" s="118">
        <f t="shared" si="44"/>
        <v>17</v>
      </c>
      <c r="K69" s="118">
        <f t="shared" si="44"/>
        <v>20</v>
      </c>
      <c r="L69" s="118">
        <f t="shared" si="44"/>
        <v>20</v>
      </c>
      <c r="M69" s="118">
        <f t="shared" si="44"/>
        <v>20</v>
      </c>
      <c r="N69" s="118">
        <f t="shared" si="44"/>
        <v>20</v>
      </c>
      <c r="O69" s="118">
        <f t="shared" si="44"/>
        <v>20</v>
      </c>
      <c r="P69" s="118">
        <f t="shared" si="44"/>
        <v>20</v>
      </c>
      <c r="Q69" s="118">
        <f t="shared" si="44"/>
        <v>20</v>
      </c>
      <c r="R69" s="118">
        <f t="shared" si="44"/>
        <v>20</v>
      </c>
      <c r="S69" s="192">
        <f t="shared" si="44"/>
        <v>20</v>
      </c>
      <c r="T69" s="118">
        <f t="shared" si="44"/>
        <v>13</v>
      </c>
      <c r="U69" s="94"/>
      <c r="V69" s="65"/>
    </row>
    <row r="70" spans="1:22" s="64" customFormat="1" ht="12" customHeight="1" x14ac:dyDescent="0.2">
      <c r="A70" s="293" t="s">
        <v>143</v>
      </c>
      <c r="B70" s="118">
        <f t="shared" ref="B70:T70" si="45">ROUND(IF(B$87&gt;=80,$B$104*$G$103,IF(AND(B$87&lt;80,B$87&gt;=60),$B$104*$H$103,$B$104*$I$103)),0)</f>
        <v>24</v>
      </c>
      <c r="C70" s="118">
        <f t="shared" si="45"/>
        <v>16</v>
      </c>
      <c r="D70" s="118">
        <f t="shared" si="45"/>
        <v>16</v>
      </c>
      <c r="E70" s="118">
        <f t="shared" si="45"/>
        <v>16</v>
      </c>
      <c r="F70" s="118">
        <f t="shared" si="45"/>
        <v>16</v>
      </c>
      <c r="G70" s="118">
        <f t="shared" si="45"/>
        <v>16</v>
      </c>
      <c r="H70" s="118">
        <f t="shared" si="45"/>
        <v>16</v>
      </c>
      <c r="I70" s="118">
        <f t="shared" si="45"/>
        <v>20</v>
      </c>
      <c r="J70" s="118">
        <f t="shared" si="45"/>
        <v>20</v>
      </c>
      <c r="K70" s="118">
        <f t="shared" si="45"/>
        <v>24</v>
      </c>
      <c r="L70" s="118">
        <f t="shared" si="45"/>
        <v>24</v>
      </c>
      <c r="M70" s="118">
        <f t="shared" si="45"/>
        <v>24</v>
      </c>
      <c r="N70" s="118">
        <f t="shared" si="45"/>
        <v>24</v>
      </c>
      <c r="O70" s="118">
        <f t="shared" si="45"/>
        <v>24</v>
      </c>
      <c r="P70" s="118">
        <f t="shared" si="45"/>
        <v>24</v>
      </c>
      <c r="Q70" s="118">
        <f t="shared" si="45"/>
        <v>24</v>
      </c>
      <c r="R70" s="118">
        <f t="shared" si="45"/>
        <v>24</v>
      </c>
      <c r="S70" s="192">
        <f t="shared" si="45"/>
        <v>24</v>
      </c>
      <c r="T70" s="118">
        <f t="shared" si="45"/>
        <v>16</v>
      </c>
      <c r="U70" s="94"/>
      <c r="V70" s="65"/>
    </row>
    <row r="71" spans="1:22" s="65" customFormat="1" ht="12" customHeight="1" thickBot="1" x14ac:dyDescent="0.25">
      <c r="A71" s="482" t="s">
        <v>144</v>
      </c>
      <c r="B71" s="483"/>
      <c r="C71" s="483"/>
      <c r="D71" s="483"/>
      <c r="E71" s="483"/>
      <c r="F71" s="483"/>
      <c r="G71" s="483"/>
      <c r="H71" s="483"/>
      <c r="I71" s="483"/>
      <c r="J71" s="483"/>
      <c r="K71" s="483"/>
      <c r="L71" s="483"/>
      <c r="M71" s="483"/>
      <c r="N71" s="483"/>
      <c r="O71" s="483"/>
      <c r="P71" s="483"/>
      <c r="Q71" s="483"/>
      <c r="R71" s="483"/>
      <c r="S71" s="483"/>
      <c r="T71" s="493"/>
      <c r="U71" s="93"/>
    </row>
    <row r="72" spans="1:22" s="65" customFormat="1" ht="12" customHeight="1" x14ac:dyDescent="0.2">
      <c r="A72" s="91" t="str">
        <f>A113</f>
        <v>Required Skilled Crews</v>
      </c>
      <c r="B72" s="481">
        <v>6</v>
      </c>
      <c r="C72" s="481">
        <v>5</v>
      </c>
      <c r="D72" s="481">
        <v>4</v>
      </c>
      <c r="E72" s="481">
        <v>4</v>
      </c>
      <c r="F72" s="481">
        <v>5</v>
      </c>
      <c r="G72" s="481">
        <v>6</v>
      </c>
      <c r="H72" s="481">
        <v>7</v>
      </c>
      <c r="I72" s="481">
        <v>8</v>
      </c>
      <c r="J72" s="481">
        <v>9</v>
      </c>
      <c r="K72" s="481">
        <v>10</v>
      </c>
      <c r="L72" s="481">
        <v>11</v>
      </c>
      <c r="M72" s="481">
        <v>12</v>
      </c>
      <c r="N72" s="481">
        <v>12</v>
      </c>
      <c r="O72" s="481">
        <v>12</v>
      </c>
      <c r="P72" s="481">
        <v>12</v>
      </c>
      <c r="Q72" s="481">
        <v>12</v>
      </c>
      <c r="R72" s="481">
        <v>12</v>
      </c>
      <c r="S72" s="481">
        <v>12</v>
      </c>
      <c r="T72" s="481">
        <v>4</v>
      </c>
      <c r="U72" s="94"/>
    </row>
    <row r="73" spans="1:22" s="65" customFormat="1" ht="12.75" x14ac:dyDescent="0.2">
      <c r="A73" s="468" t="s">
        <v>145</v>
      </c>
      <c r="B73" s="469"/>
      <c r="C73" s="470"/>
      <c r="D73" s="470"/>
      <c r="E73" s="470"/>
      <c r="F73" s="470"/>
      <c r="G73" s="471"/>
      <c r="H73" s="471"/>
      <c r="I73" s="471"/>
      <c r="J73" s="471"/>
      <c r="K73" s="471"/>
      <c r="L73" s="471"/>
      <c r="M73" s="471"/>
      <c r="N73" s="471"/>
      <c r="O73" s="471"/>
      <c r="P73" s="472"/>
      <c r="Q73" s="472"/>
      <c r="R73" s="473"/>
      <c r="S73" s="473"/>
      <c r="T73" s="409"/>
      <c r="U73" s="94"/>
    </row>
    <row r="74" spans="1:22" s="65" customFormat="1" ht="12" x14ac:dyDescent="0.2">
      <c r="A74" s="213" t="s">
        <v>146</v>
      </c>
      <c r="B74" s="474">
        <v>0.95</v>
      </c>
      <c r="C74" s="474">
        <v>0.95</v>
      </c>
      <c r="D74" s="474">
        <v>0.95</v>
      </c>
      <c r="E74" s="474">
        <v>0.95</v>
      </c>
      <c r="F74" s="474">
        <v>0.95</v>
      </c>
      <c r="G74" s="474">
        <v>0.95</v>
      </c>
      <c r="H74" s="474">
        <v>0.95</v>
      </c>
      <c r="I74" s="474">
        <v>0.95</v>
      </c>
      <c r="J74" s="474">
        <v>0.95</v>
      </c>
      <c r="K74" s="474">
        <v>0.95</v>
      </c>
      <c r="L74" s="474">
        <v>0.95</v>
      </c>
      <c r="M74" s="474">
        <v>0.95</v>
      </c>
      <c r="N74" s="474">
        <v>0.95</v>
      </c>
      <c r="O74" s="474">
        <v>0.95</v>
      </c>
      <c r="P74" s="474">
        <v>0.95</v>
      </c>
      <c r="Q74" s="474">
        <v>0.95</v>
      </c>
      <c r="R74" s="474">
        <v>0.95</v>
      </c>
      <c r="S74" s="491">
        <v>0.95</v>
      </c>
      <c r="T74" s="474">
        <v>0.95</v>
      </c>
      <c r="U74" s="94"/>
    </row>
    <row r="75" spans="1:22" s="65" customFormat="1" ht="12" x14ac:dyDescent="0.2">
      <c r="A75" s="213" t="s">
        <v>147</v>
      </c>
      <c r="B75" s="475">
        <v>0.92</v>
      </c>
      <c r="C75" s="475">
        <v>0.92</v>
      </c>
      <c r="D75" s="475">
        <v>0.92</v>
      </c>
      <c r="E75" s="475">
        <v>0.92</v>
      </c>
      <c r="F75" s="475">
        <v>0.92</v>
      </c>
      <c r="G75" s="475">
        <v>0.92</v>
      </c>
      <c r="H75" s="475">
        <v>0.92</v>
      </c>
      <c r="I75" s="475">
        <v>0.92</v>
      </c>
      <c r="J75" s="475">
        <v>0.92</v>
      </c>
      <c r="K75" s="475">
        <v>0.92</v>
      </c>
      <c r="L75" s="475">
        <v>0.92</v>
      </c>
      <c r="M75" s="475">
        <v>0.92</v>
      </c>
      <c r="N75" s="475">
        <v>0.92</v>
      </c>
      <c r="O75" s="475">
        <v>0.92</v>
      </c>
      <c r="P75" s="475">
        <v>0.92</v>
      </c>
      <c r="Q75" s="475">
        <v>0.92</v>
      </c>
      <c r="R75" s="475">
        <v>0.92</v>
      </c>
      <c r="S75" s="492">
        <v>0.92</v>
      </c>
      <c r="T75" s="475">
        <v>0.92</v>
      </c>
      <c r="U75" s="94"/>
    </row>
    <row r="76" spans="1:22" s="65" customFormat="1" ht="12" x14ac:dyDescent="0.2">
      <c r="A76" s="213" t="s">
        <v>148</v>
      </c>
      <c r="B76" s="475">
        <v>0.75</v>
      </c>
      <c r="C76" s="475">
        <v>0.75</v>
      </c>
      <c r="D76" s="475">
        <v>0.75</v>
      </c>
      <c r="E76" s="475">
        <v>0.75</v>
      </c>
      <c r="F76" s="475">
        <v>0.75</v>
      </c>
      <c r="G76" s="475">
        <v>0.75</v>
      </c>
      <c r="H76" s="475">
        <v>0.75</v>
      </c>
      <c r="I76" s="475">
        <v>0.75</v>
      </c>
      <c r="J76" s="475">
        <v>0.75</v>
      </c>
      <c r="K76" s="475">
        <v>0.75</v>
      </c>
      <c r="L76" s="475">
        <v>0.75</v>
      </c>
      <c r="M76" s="475">
        <v>0.75</v>
      </c>
      <c r="N76" s="475">
        <v>0.75</v>
      </c>
      <c r="O76" s="475">
        <v>0.75</v>
      </c>
      <c r="P76" s="475">
        <v>0.75</v>
      </c>
      <c r="Q76" s="475">
        <v>0.75</v>
      </c>
      <c r="R76" s="475">
        <v>0.75</v>
      </c>
      <c r="S76" s="492">
        <v>0.75</v>
      </c>
      <c r="T76" s="475">
        <v>0.75</v>
      </c>
      <c r="U76" s="94"/>
    </row>
    <row r="77" spans="1:22" ht="12" customHeight="1" x14ac:dyDescent="0.15"/>
    <row r="78" spans="1:22" ht="12" customHeight="1" x14ac:dyDescent="0.2">
      <c r="B78" s="296"/>
      <c r="C78" s="232"/>
    </row>
    <row r="79" spans="1:22" s="80" customFormat="1" ht="12" customHeight="1" x14ac:dyDescent="0.2">
      <c r="A79" s="103" t="s">
        <v>149</v>
      </c>
      <c r="B79" s="98"/>
      <c r="D79" s="234"/>
    </row>
    <row r="80" spans="1:22" s="65" customFormat="1" ht="12" customHeight="1" thickBot="1" x14ac:dyDescent="0.25">
      <c r="A80" s="103"/>
    </row>
    <row r="81" spans="1:38" s="236" customFormat="1" ht="12" customHeight="1" thickBot="1" x14ac:dyDescent="0.25">
      <c r="A81" s="675" t="s">
        <v>150</v>
      </c>
      <c r="B81" s="676"/>
      <c r="C81" s="676"/>
      <c r="D81" s="676"/>
      <c r="E81" s="676"/>
      <c r="F81" s="676"/>
      <c r="G81" s="676"/>
      <c r="H81" s="676"/>
      <c r="I81" s="676"/>
      <c r="J81" s="676"/>
      <c r="K81" s="676"/>
      <c r="L81" s="676"/>
      <c r="M81" s="676"/>
      <c r="N81" s="676"/>
      <c r="O81" s="676"/>
      <c r="P81" s="676"/>
      <c r="Q81" s="676"/>
      <c r="R81" s="676"/>
      <c r="S81" s="676"/>
      <c r="T81" s="677"/>
      <c r="U81" s="235"/>
      <c r="V81" s="235"/>
      <c r="W81" s="82"/>
      <c r="AB81" s="235"/>
      <c r="AC81" s="235"/>
      <c r="AD81" s="235"/>
      <c r="AE81" s="214"/>
      <c r="AF81" s="237"/>
    </row>
    <row r="82" spans="1:38" s="236" customFormat="1" ht="12" customHeight="1" x14ac:dyDescent="0.2">
      <c r="A82" s="238" t="s">
        <v>151</v>
      </c>
      <c r="B82" s="239">
        <f>MIN(100,B84+$B$88)</f>
        <v>100</v>
      </c>
      <c r="C82" s="239">
        <f t="shared" ref="C82:S82" si="46">MIN(100,C84+$B$88)</f>
        <v>87.649741026071467</v>
      </c>
      <c r="D82" s="239">
        <f t="shared" si="46"/>
        <v>57.747780241757731</v>
      </c>
      <c r="E82" s="239">
        <f t="shared" si="46"/>
        <v>45.002682202542047</v>
      </c>
      <c r="F82" s="239">
        <f t="shared" si="46"/>
        <v>56.767388084894989</v>
      </c>
      <c r="G82" s="239">
        <f t="shared" si="46"/>
        <v>68.532093967247931</v>
      </c>
      <c r="H82" s="239">
        <f t="shared" si="46"/>
        <v>80.296799849600859</v>
      </c>
      <c r="I82" s="239">
        <f t="shared" si="46"/>
        <v>96.963466516267516</v>
      </c>
      <c r="J82" s="239">
        <f t="shared" si="46"/>
        <v>100</v>
      </c>
      <c r="K82" s="239">
        <f t="shared" si="46"/>
        <v>100</v>
      </c>
      <c r="L82" s="239">
        <f t="shared" si="46"/>
        <v>100</v>
      </c>
      <c r="M82" s="239">
        <f t="shared" si="46"/>
        <v>100</v>
      </c>
      <c r="N82" s="239">
        <f t="shared" si="46"/>
        <v>100</v>
      </c>
      <c r="O82" s="239">
        <f t="shared" si="46"/>
        <v>100</v>
      </c>
      <c r="P82" s="239">
        <f t="shared" si="46"/>
        <v>100</v>
      </c>
      <c r="Q82" s="239">
        <f t="shared" si="46"/>
        <v>100</v>
      </c>
      <c r="R82" s="239">
        <f t="shared" si="46"/>
        <v>100</v>
      </c>
      <c r="S82" s="240">
        <f t="shared" si="46"/>
        <v>100</v>
      </c>
      <c r="T82" s="241">
        <f>MIN(100,T84+$B$88)</f>
        <v>45.002682202542047</v>
      </c>
      <c r="U82" s="242"/>
      <c r="V82" s="242"/>
      <c r="W82" s="82"/>
      <c r="AB82" s="242"/>
      <c r="AC82" s="242"/>
      <c r="AD82" s="214"/>
      <c r="AE82" s="243"/>
      <c r="AF82" s="244"/>
      <c r="AG82" s="212"/>
    </row>
    <row r="83" spans="1:38" s="236" customFormat="1" ht="12" customHeight="1" x14ac:dyDescent="0.2">
      <c r="A83" s="245" t="s">
        <v>152</v>
      </c>
      <c r="B83" s="246">
        <f>MIN(100,B84+$B$89)</f>
        <v>100</v>
      </c>
      <c r="C83" s="246">
        <f t="shared" ref="C83:S83" si="47">MIN(100,C84+$B$89)</f>
        <v>72.991537179702405</v>
      </c>
      <c r="D83" s="246">
        <f t="shared" si="47"/>
        <v>43.089576395388669</v>
      </c>
      <c r="E83" s="246">
        <f t="shared" si="47"/>
        <v>30.344478356172985</v>
      </c>
      <c r="F83" s="246">
        <f t="shared" si="47"/>
        <v>42.109184238525927</v>
      </c>
      <c r="G83" s="246">
        <f t="shared" si="47"/>
        <v>53.873890120878862</v>
      </c>
      <c r="H83" s="246">
        <f t="shared" si="47"/>
        <v>65.638596003231797</v>
      </c>
      <c r="I83" s="246">
        <f t="shared" si="47"/>
        <v>82.305262669898454</v>
      </c>
      <c r="J83" s="246">
        <f t="shared" si="47"/>
        <v>91.128792081663178</v>
      </c>
      <c r="K83" s="246">
        <f t="shared" si="47"/>
        <v>99.952321493427903</v>
      </c>
      <c r="L83" s="246">
        <f t="shared" si="47"/>
        <v>100</v>
      </c>
      <c r="M83" s="246">
        <f t="shared" si="47"/>
        <v>100</v>
      </c>
      <c r="N83" s="246">
        <f t="shared" si="47"/>
        <v>100</v>
      </c>
      <c r="O83" s="246">
        <f t="shared" si="47"/>
        <v>100</v>
      </c>
      <c r="P83" s="246">
        <f t="shared" si="47"/>
        <v>100</v>
      </c>
      <c r="Q83" s="246">
        <f t="shared" si="47"/>
        <v>100</v>
      </c>
      <c r="R83" s="246">
        <f t="shared" si="47"/>
        <v>100</v>
      </c>
      <c r="S83" s="247">
        <f t="shared" si="47"/>
        <v>100</v>
      </c>
      <c r="T83" s="248">
        <f>MIN(100,T84+$B$89)</f>
        <v>30.344478356172985</v>
      </c>
      <c r="U83" s="242"/>
      <c r="V83" s="242"/>
      <c r="W83" s="97"/>
      <c r="AB83" s="242"/>
      <c r="AC83" s="242"/>
      <c r="AD83" s="214"/>
      <c r="AE83" s="243"/>
      <c r="AF83" s="244"/>
      <c r="AG83" s="244"/>
      <c r="AH83" s="237"/>
      <c r="AI83" s="237"/>
      <c r="AJ83" s="244"/>
      <c r="AK83" s="249"/>
      <c r="AL83" s="214"/>
    </row>
    <row r="84" spans="1:38" s="236" customFormat="1" ht="12" customHeight="1" x14ac:dyDescent="0.2">
      <c r="A84" s="245" t="s">
        <v>153</v>
      </c>
      <c r="B84" s="250">
        <v>100</v>
      </c>
      <c r="C84" s="250">
        <v>58.333333333333336</v>
      </c>
      <c r="D84" s="250">
        <v>28.431372549019603</v>
      </c>
      <c r="E84" s="250">
        <v>15.686274509803921</v>
      </c>
      <c r="F84" s="250">
        <v>27.450980392156861</v>
      </c>
      <c r="G84" s="250">
        <v>39.2156862745098</v>
      </c>
      <c r="H84" s="250">
        <v>50.980392156862727</v>
      </c>
      <c r="I84" s="250">
        <v>67.647058823529392</v>
      </c>
      <c r="J84" s="250">
        <v>76.470588235294116</v>
      </c>
      <c r="K84" s="250">
        <v>85.29411764705884</v>
      </c>
      <c r="L84" s="250">
        <v>90.196078431372555</v>
      </c>
      <c r="M84" s="250">
        <v>100</v>
      </c>
      <c r="N84" s="250">
        <v>100</v>
      </c>
      <c r="O84" s="250">
        <v>100</v>
      </c>
      <c r="P84" s="250">
        <v>100</v>
      </c>
      <c r="Q84" s="250">
        <v>100</v>
      </c>
      <c r="R84" s="250">
        <v>100</v>
      </c>
      <c r="S84" s="251">
        <v>100</v>
      </c>
      <c r="T84" s="252">
        <f>MIN(B84:S84)</f>
        <v>15.686274509803921</v>
      </c>
      <c r="U84" s="253"/>
      <c r="V84" s="253"/>
      <c r="W84" s="97"/>
      <c r="AB84" s="253"/>
      <c r="AC84" s="253"/>
      <c r="AD84" s="214"/>
      <c r="AE84" s="243"/>
      <c r="AF84" s="244"/>
      <c r="AG84" s="244"/>
      <c r="AH84" s="237"/>
      <c r="AI84" s="237"/>
      <c r="AJ84" s="244"/>
      <c r="AK84" s="249"/>
      <c r="AL84" s="214"/>
    </row>
    <row r="85" spans="1:38" s="236" customFormat="1" ht="12" customHeight="1" x14ac:dyDescent="0.2">
      <c r="A85" s="245" t="s">
        <v>154</v>
      </c>
      <c r="B85" s="247">
        <f t="shared" ref="B85:T85" si="48">MIN(80,IF(B13="Deploy",80,MAX(0,B84-$B$89)))</f>
        <v>80</v>
      </c>
      <c r="C85" s="247">
        <f t="shared" si="48"/>
        <v>43.675129486964273</v>
      </c>
      <c r="D85" s="247">
        <f t="shared" si="48"/>
        <v>13.773168702650539</v>
      </c>
      <c r="E85" s="247">
        <f t="shared" si="48"/>
        <v>1.0280706634348569</v>
      </c>
      <c r="F85" s="247">
        <f t="shared" si="48"/>
        <v>12.792776545787797</v>
      </c>
      <c r="G85" s="247">
        <f t="shared" si="48"/>
        <v>24.557482428140737</v>
      </c>
      <c r="H85" s="247">
        <f t="shared" si="48"/>
        <v>36.322188310493665</v>
      </c>
      <c r="I85" s="247">
        <f t="shared" si="48"/>
        <v>52.988854977160329</v>
      </c>
      <c r="J85" s="247">
        <f t="shared" si="48"/>
        <v>61.812384388925054</v>
      </c>
      <c r="K85" s="247">
        <f t="shared" si="48"/>
        <v>70.635913800689778</v>
      </c>
      <c r="L85" s="247">
        <f t="shared" si="48"/>
        <v>75.537874585003493</v>
      </c>
      <c r="M85" s="247">
        <f t="shared" si="48"/>
        <v>80</v>
      </c>
      <c r="N85" s="247">
        <f t="shared" si="48"/>
        <v>80</v>
      </c>
      <c r="O85" s="247">
        <f t="shared" si="48"/>
        <v>80</v>
      </c>
      <c r="P85" s="247">
        <f t="shared" si="48"/>
        <v>80</v>
      </c>
      <c r="Q85" s="247">
        <f t="shared" si="48"/>
        <v>80</v>
      </c>
      <c r="R85" s="247">
        <f t="shared" si="48"/>
        <v>80</v>
      </c>
      <c r="S85" s="247">
        <f t="shared" si="48"/>
        <v>80</v>
      </c>
      <c r="T85" s="248">
        <f t="shared" si="48"/>
        <v>1.0280706634348569</v>
      </c>
      <c r="U85" s="242"/>
      <c r="V85" s="242"/>
      <c r="W85" s="97"/>
      <c r="AB85" s="242"/>
      <c r="AC85" s="242"/>
      <c r="AD85" s="214"/>
      <c r="AE85" s="243"/>
      <c r="AF85" s="244"/>
      <c r="AG85" s="244"/>
      <c r="AH85" s="237"/>
      <c r="AI85" s="237"/>
      <c r="AJ85" s="244"/>
      <c r="AK85" s="249"/>
      <c r="AL85" s="214"/>
    </row>
    <row r="86" spans="1:38" s="236" customFormat="1" ht="12" customHeight="1" thickBot="1" x14ac:dyDescent="0.25">
      <c r="A86" s="254" t="s">
        <v>155</v>
      </c>
      <c r="B86" s="255">
        <f t="shared" ref="B86:T86" si="49">MIN(60,IF(B13="Deploy",60,MAX(0,B84-$B$88)))</f>
        <v>60</v>
      </c>
      <c r="C86" s="255">
        <f t="shared" si="49"/>
        <v>29.016925640595208</v>
      </c>
      <c r="D86" s="255">
        <f t="shared" si="49"/>
        <v>0</v>
      </c>
      <c r="E86" s="255">
        <f t="shared" si="49"/>
        <v>0</v>
      </c>
      <c r="F86" s="255">
        <f t="shared" si="49"/>
        <v>0</v>
      </c>
      <c r="G86" s="255">
        <f t="shared" si="49"/>
        <v>9.8992785817716715</v>
      </c>
      <c r="H86" s="255">
        <f t="shared" si="49"/>
        <v>21.663984464124599</v>
      </c>
      <c r="I86" s="255">
        <f t="shared" si="49"/>
        <v>38.330651130791267</v>
      </c>
      <c r="J86" s="255">
        <f t="shared" si="49"/>
        <v>47.154180542555991</v>
      </c>
      <c r="K86" s="255">
        <f t="shared" si="49"/>
        <v>55.977709954320716</v>
      </c>
      <c r="L86" s="255">
        <f t="shared" si="49"/>
        <v>60</v>
      </c>
      <c r="M86" s="255">
        <f t="shared" si="49"/>
        <v>60</v>
      </c>
      <c r="N86" s="255">
        <f t="shared" si="49"/>
        <v>60</v>
      </c>
      <c r="O86" s="255">
        <f t="shared" si="49"/>
        <v>60</v>
      </c>
      <c r="P86" s="255">
        <f t="shared" si="49"/>
        <v>60</v>
      </c>
      <c r="Q86" s="255">
        <f t="shared" si="49"/>
        <v>60</v>
      </c>
      <c r="R86" s="255">
        <f t="shared" si="49"/>
        <v>60</v>
      </c>
      <c r="S86" s="255">
        <f t="shared" si="49"/>
        <v>60</v>
      </c>
      <c r="T86" s="256">
        <f t="shared" si="49"/>
        <v>0</v>
      </c>
      <c r="U86" s="242"/>
      <c r="V86" s="242"/>
      <c r="W86" s="97"/>
      <c r="AB86" s="242"/>
      <c r="AC86" s="242"/>
      <c r="AD86" s="214"/>
      <c r="AE86" s="243"/>
      <c r="AF86" s="244"/>
      <c r="AG86" s="244"/>
      <c r="AH86" s="237"/>
      <c r="AI86" s="237"/>
      <c r="AJ86" s="244"/>
      <c r="AK86" s="249"/>
      <c r="AL86" s="214"/>
    </row>
    <row r="87" spans="1:38" s="5" customFormat="1" ht="12" customHeight="1" thickBot="1" x14ac:dyDescent="0.25">
      <c r="A87" s="292" t="s">
        <v>156</v>
      </c>
      <c r="B87" s="289">
        <v>100</v>
      </c>
      <c r="C87" s="289">
        <v>58.333333333333336</v>
      </c>
      <c r="D87" s="289">
        <v>28.431372549019603</v>
      </c>
      <c r="E87" s="289">
        <v>15.686274509803921</v>
      </c>
      <c r="F87" s="289">
        <v>27.450980392156861</v>
      </c>
      <c r="G87" s="289">
        <v>39.2156862745098</v>
      </c>
      <c r="H87" s="289">
        <v>50.980392156862727</v>
      </c>
      <c r="I87" s="289">
        <v>67.647058823529392</v>
      </c>
      <c r="J87" s="289">
        <v>76.470588235294116</v>
      </c>
      <c r="K87" s="289">
        <v>85.29411764705884</v>
      </c>
      <c r="L87" s="289">
        <v>90.196078431372555</v>
      </c>
      <c r="M87" s="289">
        <v>100</v>
      </c>
      <c r="N87" s="289">
        <v>100</v>
      </c>
      <c r="O87" s="289">
        <v>100</v>
      </c>
      <c r="P87" s="289">
        <v>100</v>
      </c>
      <c r="Q87" s="289">
        <v>100</v>
      </c>
      <c r="R87" s="289">
        <v>100</v>
      </c>
      <c r="S87" s="290">
        <v>100</v>
      </c>
      <c r="T87" s="291">
        <f>MIN(B87:S87)</f>
        <v>15.686274509803921</v>
      </c>
      <c r="U87" s="41"/>
      <c r="V87" s="97"/>
      <c r="AA87" s="41"/>
      <c r="AB87" s="41"/>
      <c r="AC87" s="17"/>
      <c r="AD87" s="9"/>
      <c r="AE87" s="10"/>
      <c r="AF87" s="10"/>
      <c r="AG87" s="15"/>
      <c r="AH87" s="15"/>
      <c r="AI87" s="10"/>
      <c r="AJ87" s="16"/>
      <c r="AK87" s="17"/>
    </row>
    <row r="88" spans="1:38" s="236" customFormat="1" ht="12" customHeight="1" x14ac:dyDescent="0.2">
      <c r="A88" s="257" t="s">
        <v>157</v>
      </c>
      <c r="B88" s="258">
        <f t="array" ref="B88">SQRT(SUM(POWER(AVERAGE(B84:S84)-(B84:S84),2))/COUNT(B84:S84))*1</f>
        <v>29.316407692738128</v>
      </c>
      <c r="U88" s="214"/>
      <c r="V88" s="214"/>
      <c r="W88" s="97"/>
      <c r="AB88" s="214"/>
      <c r="AC88" s="214"/>
      <c r="AD88" s="214"/>
      <c r="AE88" s="214"/>
      <c r="AG88" s="244"/>
      <c r="AH88" s="237"/>
      <c r="AI88" s="237"/>
      <c r="AJ88" s="244"/>
      <c r="AK88" s="249"/>
      <c r="AL88" s="214"/>
    </row>
    <row r="89" spans="1:38" s="236" customFormat="1" ht="12" customHeight="1" thickBot="1" x14ac:dyDescent="0.25">
      <c r="A89" s="259" t="s">
        <v>158</v>
      </c>
      <c r="B89" s="260">
        <f>B88/2</f>
        <v>14.658203846369064</v>
      </c>
      <c r="U89" s="214"/>
      <c r="V89" s="214"/>
      <c r="W89" s="97"/>
      <c r="AB89" s="214"/>
      <c r="AC89" s="214"/>
      <c r="AD89" s="214"/>
      <c r="AE89" s="214"/>
    </row>
    <row r="90" spans="1:38" s="236" customFormat="1" ht="12" customHeight="1" thickBot="1" x14ac:dyDescent="0.25">
      <c r="A90" s="261"/>
      <c r="B90" s="261"/>
      <c r="C90" s="214"/>
      <c r="J90" s="261"/>
      <c r="K90" s="261"/>
      <c r="L90" s="261"/>
      <c r="M90" s="261"/>
      <c r="N90" s="261"/>
      <c r="O90" s="261"/>
      <c r="P90" s="261"/>
      <c r="Q90" s="261"/>
      <c r="R90" s="261"/>
      <c r="S90" s="261"/>
      <c r="T90" s="261"/>
      <c r="U90" s="261"/>
      <c r="V90" s="261"/>
      <c r="W90" s="97"/>
      <c r="AB90" s="261"/>
      <c r="AC90" s="261"/>
      <c r="AD90" s="261"/>
    </row>
    <row r="91" spans="1:38" s="236" customFormat="1" ht="12" customHeight="1" thickBot="1" x14ac:dyDescent="0.25">
      <c r="A91" s="666" t="s">
        <v>159</v>
      </c>
      <c r="B91" s="667"/>
      <c r="D91" s="668" t="s">
        <v>160</v>
      </c>
      <c r="E91" s="669"/>
      <c r="F91" s="669"/>
      <c r="G91" s="669"/>
      <c r="H91" s="669"/>
      <c r="I91" s="670"/>
      <c r="K91" s="114" t="s">
        <v>161</v>
      </c>
      <c r="L91" s="671" t="s">
        <v>162</v>
      </c>
      <c r="M91" s="671"/>
      <c r="W91" s="97"/>
      <c r="AF91" s="237"/>
    </row>
    <row r="92" spans="1:38" s="236" customFormat="1" ht="12" customHeight="1" thickBot="1" x14ac:dyDescent="0.25">
      <c r="A92" s="666" t="s">
        <v>163</v>
      </c>
      <c r="B92" s="667"/>
      <c r="D92" s="262"/>
      <c r="E92" s="263"/>
      <c r="F92" s="149" t="s">
        <v>164</v>
      </c>
      <c r="G92" s="150" t="s">
        <v>165</v>
      </c>
      <c r="H92" s="151" t="s">
        <v>166</v>
      </c>
      <c r="I92" s="152" t="s">
        <v>167</v>
      </c>
      <c r="V92" s="264"/>
      <c r="W92" s="97"/>
      <c r="AF92" s="237"/>
    </row>
    <row r="93" spans="1:38" s="236" customFormat="1" ht="12" customHeight="1" x14ac:dyDescent="0.2">
      <c r="A93" s="265" t="s">
        <v>123</v>
      </c>
      <c r="B93" s="266">
        <v>36</v>
      </c>
      <c r="D93" s="267"/>
      <c r="E93" s="268"/>
      <c r="F93" s="120" t="s">
        <v>168</v>
      </c>
      <c r="G93" s="153">
        <v>24</v>
      </c>
      <c r="H93" s="153">
        <v>22</v>
      </c>
      <c r="I93" s="154">
        <v>20</v>
      </c>
      <c r="M93" s="264"/>
      <c r="V93" s="264"/>
      <c r="W93" s="97"/>
    </row>
    <row r="94" spans="1:38" s="236" customFormat="1" ht="12" customHeight="1" x14ac:dyDescent="0.2">
      <c r="A94" s="269" t="s">
        <v>124</v>
      </c>
      <c r="B94" s="270">
        <v>36</v>
      </c>
      <c r="C94" s="288"/>
      <c r="D94" s="267"/>
      <c r="E94" s="268"/>
      <c r="F94" s="120" t="s">
        <v>169</v>
      </c>
      <c r="G94" s="153">
        <v>12</v>
      </c>
      <c r="H94" s="153">
        <v>11</v>
      </c>
      <c r="I94" s="154">
        <v>10</v>
      </c>
      <c r="M94" s="264"/>
      <c r="V94" s="264"/>
      <c r="W94" s="97"/>
    </row>
    <row r="95" spans="1:38" s="236" customFormat="1" ht="12" customHeight="1" x14ac:dyDescent="0.2">
      <c r="A95" s="269" t="s">
        <v>125</v>
      </c>
      <c r="B95" s="272">
        <v>3</v>
      </c>
      <c r="C95" s="288"/>
      <c r="D95" s="447"/>
      <c r="E95" s="448"/>
      <c r="F95" s="139" t="str">
        <f>A96</f>
        <v>&gt; ACTC L3 Pilots</v>
      </c>
      <c r="G95" s="157">
        <v>0.4</v>
      </c>
      <c r="H95" s="157">
        <v>0.33</v>
      </c>
      <c r="I95" s="158">
        <v>0.26</v>
      </c>
      <c r="M95" s="264"/>
      <c r="V95" s="264"/>
      <c r="W95" s="97"/>
    </row>
    <row r="96" spans="1:38" s="236" customFormat="1" ht="12" customHeight="1" x14ac:dyDescent="0.2">
      <c r="A96" s="269" t="s">
        <v>126</v>
      </c>
      <c r="B96" s="272">
        <v>12</v>
      </c>
      <c r="C96" s="288"/>
      <c r="D96" s="267"/>
      <c r="E96" s="273"/>
      <c r="F96" s="121" t="str">
        <f>A97</f>
        <v>&gt; ACTC L2 Pilots</v>
      </c>
      <c r="G96" s="159">
        <v>0.8</v>
      </c>
      <c r="H96" s="159">
        <v>0.66</v>
      </c>
      <c r="I96" s="160">
        <v>0.53</v>
      </c>
      <c r="M96" s="264"/>
      <c r="V96" s="264"/>
      <c r="W96" s="97"/>
    </row>
    <row r="97" spans="1:34" s="236" customFormat="1" ht="12" customHeight="1" x14ac:dyDescent="0.2">
      <c r="A97" s="269" t="s">
        <v>127</v>
      </c>
      <c r="B97" s="272">
        <v>24</v>
      </c>
      <c r="C97" s="288"/>
      <c r="D97" s="267"/>
      <c r="E97" s="273"/>
      <c r="F97" s="121" t="s">
        <v>128</v>
      </c>
      <c r="G97" s="159">
        <v>1</v>
      </c>
      <c r="H97" s="159">
        <v>0.83</v>
      </c>
      <c r="I97" s="160">
        <v>0.66</v>
      </c>
      <c r="M97" s="264"/>
      <c r="V97" s="264"/>
      <c r="W97" s="97"/>
    </row>
    <row r="98" spans="1:34" s="236" customFormat="1" ht="12" customHeight="1" x14ac:dyDescent="0.2">
      <c r="A98" s="269" t="s">
        <v>129</v>
      </c>
      <c r="B98" s="272">
        <v>26</v>
      </c>
      <c r="C98" s="288"/>
      <c r="D98" s="267"/>
      <c r="E98" s="273"/>
      <c r="F98" s="121" t="str">
        <f>A101</f>
        <v>&gt; ACTC L3 NFO</v>
      </c>
      <c r="G98" s="159">
        <v>0.53</v>
      </c>
      <c r="H98" s="159">
        <v>0.46</v>
      </c>
      <c r="I98" s="160">
        <v>0.38</v>
      </c>
      <c r="M98" s="264"/>
      <c r="V98" s="264"/>
      <c r="W98" s="97"/>
    </row>
    <row r="99" spans="1:34" s="236" customFormat="1" ht="12" customHeight="1" x14ac:dyDescent="0.2">
      <c r="A99" s="269" t="s">
        <v>130</v>
      </c>
      <c r="B99" s="272">
        <v>24</v>
      </c>
      <c r="C99" s="288"/>
      <c r="D99" s="267"/>
      <c r="E99" s="273"/>
      <c r="F99" s="121" t="str">
        <f>A102</f>
        <v>&gt; ACTC L1 NFO</v>
      </c>
      <c r="G99" s="159">
        <v>1</v>
      </c>
      <c r="H99" s="159">
        <v>0.83</v>
      </c>
      <c r="I99" s="160">
        <v>0.66</v>
      </c>
      <c r="M99" s="264"/>
      <c r="V99" s="264"/>
      <c r="W99" s="97"/>
    </row>
    <row r="100" spans="1:34" s="236" customFormat="1" ht="12" customHeight="1" x14ac:dyDescent="0.2">
      <c r="A100" s="269" t="s">
        <v>131</v>
      </c>
      <c r="B100" s="272">
        <v>3</v>
      </c>
      <c r="C100" s="288"/>
      <c r="D100" s="267"/>
      <c r="E100" s="273"/>
      <c r="F100" s="121" t="str">
        <f>A106</f>
        <v>&gt; ACTC L3 AAW</v>
      </c>
      <c r="G100" s="159">
        <v>0.53</v>
      </c>
      <c r="H100" s="159">
        <v>0.46</v>
      </c>
      <c r="I100" s="160">
        <v>0.38</v>
      </c>
      <c r="M100" s="264"/>
      <c r="V100" s="264"/>
      <c r="W100" s="97"/>
    </row>
    <row r="101" spans="1:34" s="236" customFormat="1" ht="12" customHeight="1" x14ac:dyDescent="0.2">
      <c r="A101" s="269" t="s">
        <v>132</v>
      </c>
      <c r="B101" s="272">
        <v>12</v>
      </c>
      <c r="C101" s="288"/>
      <c r="D101" s="267"/>
      <c r="E101" s="273"/>
      <c r="F101" s="121" t="str">
        <f>A107</f>
        <v>&gt; ACTC L1 AAW</v>
      </c>
      <c r="G101" s="159">
        <v>0.9</v>
      </c>
      <c r="H101" s="159">
        <v>0.83</v>
      </c>
      <c r="I101" s="160">
        <v>0.66</v>
      </c>
      <c r="M101" s="264"/>
      <c r="V101" s="264"/>
      <c r="W101" s="97"/>
    </row>
    <row r="102" spans="1:34" s="236" customFormat="1" ht="12" customHeight="1" x14ac:dyDescent="0.2">
      <c r="A102" s="269" t="s">
        <v>133</v>
      </c>
      <c r="B102" s="272">
        <v>24</v>
      </c>
      <c r="C102" s="288"/>
      <c r="D102" s="267"/>
      <c r="E102" s="273"/>
      <c r="F102" s="121" t="str">
        <f>A111</f>
        <v>&gt; ACTC L3 EWO</v>
      </c>
      <c r="G102" s="159">
        <v>0.85</v>
      </c>
      <c r="H102" s="159">
        <v>0.7</v>
      </c>
      <c r="I102" s="160">
        <v>0.55000000000000004</v>
      </c>
      <c r="M102" s="264"/>
      <c r="V102" s="264"/>
      <c r="W102" s="97"/>
      <c r="AC102" s="212"/>
      <c r="AD102" s="212"/>
      <c r="AE102" s="243"/>
      <c r="AF102" s="244"/>
      <c r="AG102" s="237"/>
      <c r="AH102" s="237"/>
    </row>
    <row r="103" spans="1:34" s="236" customFormat="1" ht="12" customHeight="1" thickBot="1" x14ac:dyDescent="0.25">
      <c r="A103" s="269" t="s">
        <v>134</v>
      </c>
      <c r="B103" s="272">
        <v>26</v>
      </c>
      <c r="C103" s="288"/>
      <c r="D103" s="271"/>
      <c r="E103" s="274"/>
      <c r="F103" s="122" t="str">
        <f>A112</f>
        <v>&gt; ACTC L1 EWO</v>
      </c>
      <c r="G103" s="161">
        <v>1</v>
      </c>
      <c r="H103" s="161">
        <v>0.83</v>
      </c>
      <c r="I103" s="162">
        <v>0.66</v>
      </c>
      <c r="M103" s="264"/>
      <c r="V103" s="264"/>
      <c r="W103" s="97"/>
    </row>
    <row r="104" spans="1:34" s="236" customFormat="1" ht="12" customHeight="1" x14ac:dyDescent="0.2">
      <c r="A104" s="269" t="s">
        <v>135</v>
      </c>
      <c r="B104" s="272">
        <v>24</v>
      </c>
      <c r="C104" s="288"/>
      <c r="D104" s="214"/>
      <c r="E104" s="214"/>
      <c r="F104" s="214"/>
      <c r="G104" s="214"/>
      <c r="H104" s="214"/>
      <c r="I104" s="214"/>
      <c r="J104" s="214"/>
      <c r="M104" s="264"/>
      <c r="V104" s="264"/>
      <c r="W104" s="97"/>
    </row>
    <row r="105" spans="1:34" s="236" customFormat="1" ht="12" customHeight="1" x14ac:dyDescent="0.2">
      <c r="A105" s="269" t="s">
        <v>136</v>
      </c>
      <c r="B105" s="272">
        <v>3</v>
      </c>
      <c r="C105" s="288"/>
      <c r="D105" s="214"/>
      <c r="E105" s="214"/>
      <c r="F105" s="214"/>
      <c r="G105" s="214"/>
      <c r="H105" s="214"/>
      <c r="I105" s="214"/>
      <c r="J105" s="214"/>
      <c r="V105" s="264"/>
      <c r="W105" s="97"/>
    </row>
    <row r="106" spans="1:34" s="236" customFormat="1" ht="12" customHeight="1" x14ac:dyDescent="0.2">
      <c r="A106" s="269" t="s">
        <v>137</v>
      </c>
      <c r="B106" s="272">
        <v>12</v>
      </c>
      <c r="C106" s="288"/>
      <c r="D106" s="214"/>
      <c r="E106" s="214"/>
      <c r="F106" s="214"/>
      <c r="G106" s="214"/>
      <c r="H106" s="214"/>
      <c r="I106" s="214"/>
      <c r="J106" s="214"/>
      <c r="V106" s="264"/>
      <c r="W106" s="97"/>
    </row>
    <row r="107" spans="1:34" s="236" customFormat="1" ht="12" customHeight="1" x14ac:dyDescent="0.2">
      <c r="A107" s="269" t="s">
        <v>138</v>
      </c>
      <c r="B107" s="272">
        <v>24</v>
      </c>
      <c r="C107" s="288"/>
      <c r="D107" s="214"/>
      <c r="E107" s="214"/>
      <c r="F107" s="214"/>
      <c r="G107" s="214"/>
      <c r="H107" s="214"/>
      <c r="I107" s="214"/>
      <c r="V107" s="264"/>
      <c r="W107" s="97"/>
    </row>
    <row r="108" spans="1:34" s="65" customFormat="1" ht="12" customHeight="1" x14ac:dyDescent="0.2">
      <c r="A108" s="269" t="s">
        <v>139</v>
      </c>
      <c r="B108" s="272">
        <v>26</v>
      </c>
      <c r="C108" s="288"/>
      <c r="D108" s="214"/>
      <c r="E108" s="214"/>
      <c r="F108" s="214"/>
      <c r="G108" s="214"/>
      <c r="H108" s="214"/>
      <c r="I108" s="214"/>
      <c r="J108" s="236"/>
      <c r="K108" s="236"/>
      <c r="L108" s="236"/>
      <c r="M108" s="236"/>
      <c r="N108" s="236"/>
      <c r="O108" s="236"/>
      <c r="P108" s="236"/>
      <c r="Q108" s="236"/>
      <c r="R108" s="236"/>
      <c r="S108" s="236"/>
      <c r="T108" s="236"/>
      <c r="V108" s="64"/>
    </row>
    <row r="109" spans="1:34" s="65" customFormat="1" ht="12" customHeight="1" x14ac:dyDescent="0.2">
      <c r="A109" s="269" t="s">
        <v>140</v>
      </c>
      <c r="B109" s="272">
        <v>24</v>
      </c>
      <c r="C109" s="288"/>
      <c r="D109" s="214"/>
      <c r="E109" s="214"/>
      <c r="F109" s="93"/>
      <c r="G109" s="233"/>
      <c r="H109" s="233"/>
      <c r="I109" s="233"/>
      <c r="J109" s="236"/>
      <c r="K109" s="236"/>
      <c r="L109" s="236"/>
      <c r="M109" s="236"/>
      <c r="N109" s="236"/>
      <c r="O109" s="236"/>
      <c r="P109" s="236"/>
      <c r="Q109" s="236"/>
      <c r="R109" s="236"/>
      <c r="S109" s="236"/>
      <c r="T109" s="236"/>
      <c r="U109" s="80"/>
      <c r="V109" s="93"/>
      <c r="W109" s="80"/>
      <c r="X109" s="80"/>
      <c r="Y109" s="80"/>
      <c r="Z109" s="80"/>
      <c r="AA109" s="80"/>
      <c r="AB109" s="80"/>
      <c r="AC109" s="80"/>
      <c r="AD109" s="80"/>
      <c r="AE109" s="80"/>
    </row>
    <row r="110" spans="1:34" s="236" customFormat="1" ht="12" customHeight="1" x14ac:dyDescent="0.2">
      <c r="A110" s="269" t="s">
        <v>141</v>
      </c>
      <c r="B110" s="272">
        <v>3</v>
      </c>
      <c r="C110" s="288"/>
      <c r="D110" s="214"/>
      <c r="E110" s="214"/>
      <c r="F110" s="93"/>
      <c r="G110" s="233"/>
      <c r="H110" s="233"/>
      <c r="I110" s="233"/>
      <c r="U110" s="214"/>
      <c r="V110" s="214"/>
      <c r="W110" s="214"/>
      <c r="X110" s="214"/>
      <c r="Y110" s="214"/>
      <c r="Z110" s="214"/>
      <c r="AA110" s="214"/>
      <c r="AB110" s="214"/>
      <c r="AC110" s="214"/>
      <c r="AD110" s="214"/>
      <c r="AE110" s="214"/>
    </row>
    <row r="111" spans="1:34" s="236" customFormat="1" ht="12" customHeight="1" x14ac:dyDescent="0.2">
      <c r="A111" s="269" t="s">
        <v>142</v>
      </c>
      <c r="B111" s="275">
        <v>12</v>
      </c>
      <c r="C111" s="288"/>
      <c r="U111" s="276"/>
      <c r="V111" s="276"/>
      <c r="W111" s="276"/>
      <c r="X111" s="276"/>
      <c r="Y111" s="276"/>
      <c r="Z111" s="276"/>
      <c r="AA111" s="276"/>
      <c r="AB111" s="276"/>
      <c r="AC111" s="276"/>
      <c r="AD111" s="276"/>
      <c r="AE111" s="214"/>
    </row>
    <row r="112" spans="1:34" s="236" customFormat="1" ht="12" customHeight="1" x14ac:dyDescent="0.2">
      <c r="A112" s="277" t="s">
        <v>143</v>
      </c>
      <c r="B112" s="278">
        <v>24</v>
      </c>
      <c r="C112" s="288"/>
      <c r="D112" s="65"/>
      <c r="E112" s="212"/>
      <c r="F112" s="212"/>
      <c r="G112" s="93"/>
      <c r="H112" s="93"/>
      <c r="I112" s="93"/>
      <c r="U112" s="276"/>
      <c r="V112" s="276"/>
      <c r="W112" s="276"/>
      <c r="X112" s="276"/>
      <c r="Y112" s="276"/>
      <c r="Z112" s="276"/>
      <c r="AA112" s="276"/>
      <c r="AB112" s="276"/>
      <c r="AC112" s="276"/>
      <c r="AD112" s="276"/>
      <c r="AE112" s="214"/>
    </row>
    <row r="113" spans="1:20" s="65" customFormat="1" ht="12" customHeight="1" thickBot="1" x14ac:dyDescent="0.25">
      <c r="A113" s="279" t="s">
        <v>170</v>
      </c>
      <c r="B113" s="280">
        <v>12</v>
      </c>
      <c r="C113" s="236"/>
      <c r="D113" s="236"/>
      <c r="E113" s="212"/>
      <c r="F113" s="212"/>
      <c r="G113" s="212"/>
      <c r="H113" s="212"/>
      <c r="I113" s="212"/>
      <c r="J113" s="236"/>
      <c r="K113" s="236"/>
      <c r="L113" s="236"/>
      <c r="M113" s="236"/>
      <c r="N113" s="236"/>
      <c r="O113" s="236"/>
      <c r="P113" s="236"/>
      <c r="Q113" s="236"/>
      <c r="R113" s="236"/>
      <c r="S113" s="236"/>
      <c r="T113" s="236"/>
    </row>
    <row r="114" spans="1:20" s="65" customFormat="1" ht="12.75" thickBot="1" x14ac:dyDescent="0.25">
      <c r="A114" s="103"/>
      <c r="C114" s="236"/>
      <c r="E114" s="212"/>
      <c r="F114" s="212"/>
      <c r="G114" s="212"/>
      <c r="H114" s="212"/>
      <c r="I114" s="212"/>
      <c r="J114" s="236"/>
      <c r="K114" s="236"/>
      <c r="L114" s="236"/>
      <c r="M114" s="236"/>
      <c r="N114" s="236"/>
      <c r="O114" s="236"/>
      <c r="P114" s="236"/>
      <c r="Q114" s="236"/>
      <c r="R114" s="236"/>
      <c r="S114" s="236"/>
      <c r="T114" s="236"/>
    </row>
    <row r="115" spans="1:20" s="65" customFormat="1" ht="12.75" thickBot="1" x14ac:dyDescent="0.25">
      <c r="A115" s="666" t="s">
        <v>171</v>
      </c>
      <c r="B115" s="667"/>
      <c r="C115" s="236"/>
      <c r="J115" s="236"/>
      <c r="K115" s="236"/>
      <c r="L115" s="236"/>
      <c r="M115" s="236"/>
      <c r="N115" s="236"/>
      <c r="O115" s="236"/>
      <c r="P115" s="236"/>
      <c r="Q115" s="236"/>
      <c r="R115" s="236"/>
      <c r="S115" s="236"/>
      <c r="T115" s="236"/>
    </row>
    <row r="116" spans="1:20" s="65" customFormat="1" ht="12" x14ac:dyDescent="0.2">
      <c r="A116" s="281" t="s">
        <v>172</v>
      </c>
      <c r="B116" s="282" t="s">
        <v>173</v>
      </c>
      <c r="C116" s="282" t="s">
        <v>173</v>
      </c>
      <c r="D116" s="282" t="s">
        <v>173</v>
      </c>
      <c r="E116" s="282" t="s">
        <v>173</v>
      </c>
      <c r="F116" s="282" t="s">
        <v>173</v>
      </c>
      <c r="G116" s="282" t="s">
        <v>173</v>
      </c>
      <c r="H116" s="282" t="s">
        <v>173</v>
      </c>
      <c r="I116" s="282" t="s">
        <v>173</v>
      </c>
      <c r="J116" s="282" t="s">
        <v>173</v>
      </c>
      <c r="K116" s="282" t="s">
        <v>173</v>
      </c>
      <c r="L116" s="282" t="s">
        <v>173</v>
      </c>
      <c r="M116" s="282" t="s">
        <v>173</v>
      </c>
      <c r="N116" s="282"/>
      <c r="O116" s="282"/>
      <c r="P116" s="282"/>
      <c r="Q116" s="282"/>
      <c r="R116" s="282"/>
      <c r="S116" s="282"/>
      <c r="T116" s="283" t="s">
        <v>173</v>
      </c>
    </row>
    <row r="117" spans="1:20" s="65" customFormat="1" ht="12.75" thickBot="1" x14ac:dyDescent="0.25">
      <c r="A117" s="259" t="s">
        <v>174</v>
      </c>
      <c r="B117" s="284"/>
      <c r="C117" s="284"/>
      <c r="D117" s="284"/>
      <c r="E117" s="284"/>
      <c r="F117" s="284"/>
      <c r="G117" s="284"/>
      <c r="H117" s="284"/>
      <c r="I117" s="284" t="s">
        <v>173</v>
      </c>
      <c r="J117" s="284"/>
      <c r="K117" s="284" t="s">
        <v>173</v>
      </c>
      <c r="L117" s="284"/>
      <c r="M117" s="284"/>
      <c r="N117" s="284" t="s">
        <v>173</v>
      </c>
      <c r="O117" s="284" t="s">
        <v>173</v>
      </c>
      <c r="P117" s="284" t="s">
        <v>173</v>
      </c>
      <c r="Q117" s="284" t="s">
        <v>173</v>
      </c>
      <c r="R117" s="284" t="s">
        <v>173</v>
      </c>
      <c r="S117" s="284" t="s">
        <v>173</v>
      </c>
      <c r="T117" s="285"/>
    </row>
    <row r="118" spans="1:20" s="65" customFormat="1" ht="12.75" thickBot="1" x14ac:dyDescent="0.25">
      <c r="A118" s="286"/>
      <c r="B118" s="57"/>
      <c r="C118" s="236"/>
      <c r="D118" s="236"/>
      <c r="E118" s="236"/>
      <c r="F118" s="236"/>
      <c r="G118" s="236"/>
      <c r="H118" s="236"/>
      <c r="I118" s="236"/>
      <c r="J118" s="236"/>
      <c r="K118" s="236"/>
      <c r="L118" s="236"/>
      <c r="M118" s="236"/>
      <c r="N118" s="236"/>
      <c r="O118" s="236"/>
      <c r="P118" s="236"/>
      <c r="Q118" s="236"/>
      <c r="R118" s="236"/>
      <c r="S118" s="236"/>
      <c r="T118" s="236"/>
    </row>
    <row r="119" spans="1:20" s="65" customFormat="1" ht="12.75" x14ac:dyDescent="0.2">
      <c r="A119" s="326" t="s">
        <v>175</v>
      </c>
      <c r="B119" s="652" t="s">
        <v>176</v>
      </c>
      <c r="C119" s="652"/>
      <c r="D119" s="659" t="s">
        <v>177</v>
      </c>
      <c r="E119" s="659"/>
      <c r="F119" s="660" t="s">
        <v>178</v>
      </c>
      <c r="G119" s="661"/>
      <c r="I119" s="341" t="s">
        <v>46</v>
      </c>
      <c r="J119" s="236"/>
      <c r="K119" s="236"/>
      <c r="L119" s="236"/>
      <c r="M119" s="236"/>
      <c r="N119" s="236"/>
      <c r="O119" s="236"/>
      <c r="P119" s="236"/>
      <c r="Q119" s="236"/>
      <c r="R119" s="236"/>
      <c r="S119" s="236"/>
      <c r="T119" s="236"/>
    </row>
    <row r="120" spans="1:20" s="65" customFormat="1" ht="12.75" x14ac:dyDescent="0.2">
      <c r="A120" s="327" t="s">
        <v>179</v>
      </c>
      <c r="B120" s="212"/>
      <c r="C120" s="212"/>
      <c r="D120" s="212"/>
      <c r="E120" s="212"/>
      <c r="F120" s="212"/>
      <c r="G120" s="328"/>
      <c r="I120" s="458" t="s">
        <v>180</v>
      </c>
      <c r="J120" s="236"/>
      <c r="K120" s="236"/>
      <c r="L120" s="236"/>
      <c r="M120" s="236"/>
      <c r="N120" s="236"/>
      <c r="O120" s="236"/>
      <c r="P120" s="236"/>
      <c r="Q120" s="236"/>
      <c r="R120" s="236"/>
      <c r="S120" s="236"/>
      <c r="T120" s="236"/>
    </row>
    <row r="121" spans="1:20" s="65" customFormat="1" ht="12" x14ac:dyDescent="0.2">
      <c r="A121" s="329" t="s">
        <v>181</v>
      </c>
      <c r="B121" s="330">
        <v>7</v>
      </c>
      <c r="C121" s="330"/>
      <c r="D121" s="331">
        <v>6</v>
      </c>
      <c r="E121" s="331">
        <v>4</v>
      </c>
      <c r="F121" s="332">
        <v>3</v>
      </c>
      <c r="G121" s="333">
        <v>0</v>
      </c>
    </row>
    <row r="122" spans="1:20" s="65" customFormat="1" ht="12" x14ac:dyDescent="0.2">
      <c r="A122" s="329" t="s">
        <v>182</v>
      </c>
      <c r="B122" s="330">
        <v>7</v>
      </c>
      <c r="C122" s="330">
        <v>5</v>
      </c>
      <c r="D122" s="331">
        <v>4</v>
      </c>
      <c r="E122" s="331">
        <v>2</v>
      </c>
      <c r="F122" s="332">
        <v>1</v>
      </c>
      <c r="G122" s="333">
        <v>0</v>
      </c>
    </row>
    <row r="123" spans="1:20" s="65" customFormat="1" ht="12" x14ac:dyDescent="0.2">
      <c r="A123" s="327" t="s">
        <v>111</v>
      </c>
      <c r="B123" s="214"/>
      <c r="C123" s="242"/>
      <c r="D123" s="242"/>
      <c r="E123" s="242"/>
      <c r="F123" s="242"/>
      <c r="G123" s="334"/>
      <c r="J123" s="236"/>
      <c r="K123" s="236"/>
      <c r="L123" s="236"/>
      <c r="M123" s="236"/>
      <c r="N123" s="236"/>
      <c r="O123" s="236"/>
      <c r="P123" s="236"/>
      <c r="Q123" s="236"/>
      <c r="R123" s="236"/>
      <c r="S123" s="236"/>
      <c r="T123" s="236"/>
    </row>
    <row r="124" spans="1:20" s="57" customFormat="1" ht="12" x14ac:dyDescent="0.2">
      <c r="A124" s="459" t="str">
        <f>A39</f>
        <v>Ready P-8A Tactical Support Mission Systems (C)</v>
      </c>
      <c r="B124" s="335">
        <v>7</v>
      </c>
      <c r="C124" s="330">
        <v>2</v>
      </c>
      <c r="D124" s="331"/>
      <c r="E124" s="331">
        <v>1</v>
      </c>
      <c r="F124" s="332"/>
      <c r="G124" s="336">
        <v>0</v>
      </c>
      <c r="H124" s="65"/>
      <c r="I124" s="65"/>
    </row>
    <row r="125" spans="1:20" s="57" customFormat="1" ht="12" x14ac:dyDescent="0.2">
      <c r="A125" s="459" t="str">
        <f t="shared" ref="A125:A132" si="50">A40</f>
        <v>Ready P-8A Weapon Mission Systems (D)</v>
      </c>
      <c r="B125" s="461">
        <v>7</v>
      </c>
      <c r="C125" s="462">
        <v>4</v>
      </c>
      <c r="D125" s="463">
        <v>3</v>
      </c>
      <c r="E125" s="463">
        <v>2</v>
      </c>
      <c r="F125" s="464">
        <v>1</v>
      </c>
      <c r="G125" s="465">
        <v>0</v>
      </c>
      <c r="H125" s="65"/>
      <c r="I125" s="65"/>
    </row>
    <row r="126" spans="1:20" s="57" customFormat="1" ht="12" x14ac:dyDescent="0.2">
      <c r="A126" s="459" t="str">
        <f t="shared" si="50"/>
        <v>Ready P-8A Countermeasures Mission Systems (E)</v>
      </c>
      <c r="B126" s="335">
        <v>7</v>
      </c>
      <c r="C126" s="330">
        <v>3</v>
      </c>
      <c r="D126" s="331">
        <v>3</v>
      </c>
      <c r="E126" s="331">
        <v>2</v>
      </c>
      <c r="F126" s="332">
        <v>1</v>
      </c>
      <c r="G126" s="336">
        <v>0</v>
      </c>
      <c r="H126" s="65"/>
      <c r="I126" s="65"/>
    </row>
    <row r="127" spans="1:20" s="57" customFormat="1" ht="12" x14ac:dyDescent="0.2">
      <c r="A127" s="459" t="str">
        <f t="shared" si="50"/>
        <v>Ready P-8A Surveillance Mission Systems (F)</v>
      </c>
      <c r="B127" s="335">
        <v>7</v>
      </c>
      <c r="C127" s="330">
        <v>4</v>
      </c>
      <c r="D127" s="331">
        <v>3</v>
      </c>
      <c r="E127" s="331">
        <v>2</v>
      </c>
      <c r="F127" s="332">
        <v>1</v>
      </c>
      <c r="G127" s="336">
        <v>0</v>
      </c>
      <c r="H127" s="65"/>
      <c r="I127" s="65"/>
    </row>
    <row r="128" spans="1:20" s="57" customFormat="1" ht="12" x14ac:dyDescent="0.2">
      <c r="A128" s="459" t="str">
        <f t="shared" si="50"/>
        <v>Ready P-8A ASUW Mission Systems (G)</v>
      </c>
      <c r="B128" s="330">
        <v>7</v>
      </c>
      <c r="C128" s="330">
        <v>4</v>
      </c>
      <c r="D128" s="331">
        <v>3</v>
      </c>
      <c r="E128" s="331">
        <v>2</v>
      </c>
      <c r="F128" s="332">
        <v>1</v>
      </c>
      <c r="G128" s="333">
        <v>0</v>
      </c>
      <c r="H128" s="65"/>
      <c r="I128" s="65"/>
    </row>
    <row r="129" spans="1:20" s="57" customFormat="1" ht="12" x14ac:dyDescent="0.2">
      <c r="A129" s="459" t="str">
        <f t="shared" si="50"/>
        <v>Ready P-8A ASW Mission Systems (H)</v>
      </c>
      <c r="B129" s="330">
        <v>7</v>
      </c>
      <c r="C129" s="330">
        <v>4</v>
      </c>
      <c r="D129" s="331">
        <v>3</v>
      </c>
      <c r="E129" s="331">
        <v>2</v>
      </c>
      <c r="F129" s="332">
        <v>1</v>
      </c>
      <c r="G129" s="333">
        <v>0</v>
      </c>
      <c r="H129" s="65"/>
      <c r="I129" s="65"/>
    </row>
    <row r="130" spans="1:20" s="57" customFormat="1" ht="12" x14ac:dyDescent="0.2">
      <c r="A130" s="459" t="str">
        <f t="shared" si="50"/>
        <v>Ready P-8A C4I Mission Systems (I)</v>
      </c>
      <c r="B130" s="330">
        <v>7</v>
      </c>
      <c r="C130" s="330">
        <v>5</v>
      </c>
      <c r="D130" s="331">
        <v>4</v>
      </c>
      <c r="E130" s="331">
        <v>2</v>
      </c>
      <c r="F130" s="332">
        <v>1</v>
      </c>
      <c r="G130" s="333">
        <v>0</v>
      </c>
      <c r="H130" s="65"/>
      <c r="I130" s="65"/>
    </row>
    <row r="131" spans="1:20" s="57" customFormat="1" ht="12" x14ac:dyDescent="0.2">
      <c r="A131" s="459" t="str">
        <f t="shared" si="50"/>
        <v>Ready P-8A Basic Tactical Mission Systems (J)</v>
      </c>
      <c r="B131" s="330">
        <v>7</v>
      </c>
      <c r="C131" s="330">
        <v>5</v>
      </c>
      <c r="D131" s="331">
        <v>4</v>
      </c>
      <c r="E131" s="331">
        <v>2</v>
      </c>
      <c r="F131" s="332">
        <v>1</v>
      </c>
      <c r="G131" s="333">
        <v>0</v>
      </c>
      <c r="H131" s="65"/>
      <c r="I131" s="65"/>
      <c r="J131" s="65"/>
      <c r="K131" s="65"/>
      <c r="L131" s="65"/>
      <c r="M131" s="65"/>
      <c r="N131" s="65"/>
      <c r="O131" s="65"/>
      <c r="P131" s="65"/>
      <c r="Q131" s="65"/>
      <c r="R131" s="65"/>
      <c r="S131" s="65"/>
      <c r="T131" s="65"/>
    </row>
    <row r="132" spans="1:20" s="65" customFormat="1" ht="12" x14ac:dyDescent="0.2">
      <c r="A132" s="459" t="str">
        <f t="shared" si="50"/>
        <v>Ready P-8A Mobility Mission Systems (K)</v>
      </c>
      <c r="B132" s="330">
        <v>7</v>
      </c>
      <c r="C132" s="330">
        <v>5</v>
      </c>
      <c r="D132" s="331">
        <v>4</v>
      </c>
      <c r="E132" s="331">
        <v>2</v>
      </c>
      <c r="F132" s="332">
        <v>1</v>
      </c>
      <c r="G132" s="333">
        <v>0</v>
      </c>
    </row>
    <row r="133" spans="1:20" s="65" customFormat="1" ht="12.75" thickBot="1" x14ac:dyDescent="0.25">
      <c r="A133" s="497" t="str">
        <f>A48</f>
        <v>Ready P-8A IMC Flight Mission Systems (L)</v>
      </c>
      <c r="B133" s="494">
        <v>7</v>
      </c>
      <c r="C133" s="494">
        <v>5</v>
      </c>
      <c r="D133" s="495">
        <v>4</v>
      </c>
      <c r="E133" s="495">
        <v>2</v>
      </c>
      <c r="F133" s="496">
        <v>1</v>
      </c>
      <c r="G133" s="498">
        <v>0</v>
      </c>
    </row>
    <row r="134" spans="1:20" s="57" customFormat="1" ht="11.25" x14ac:dyDescent="0.2">
      <c r="A134" s="286"/>
    </row>
    <row r="135" spans="1:20" s="57" customFormat="1" ht="11.25" x14ac:dyDescent="0.2">
      <c r="A135" s="286"/>
    </row>
    <row r="136" spans="1:20" s="57" customFormat="1" ht="11.25" x14ac:dyDescent="0.2">
      <c r="A136" s="582" t="s">
        <v>183</v>
      </c>
      <c r="B136" s="582" t="s">
        <v>184</v>
      </c>
    </row>
    <row r="137" spans="1:20" s="57" customFormat="1" ht="11.25" x14ac:dyDescent="0.2">
      <c r="A137" s="623" t="s">
        <v>185</v>
      </c>
      <c r="B137" s="586">
        <f>HLOOKUP($B$136,'P-8A Mission System Summary'!$B$1:$G$13,2,FALSE)</f>
        <v>0.75675578458619119</v>
      </c>
    </row>
    <row r="138" spans="1:20" s="57" customFormat="1" ht="11.25" x14ac:dyDescent="0.2">
      <c r="A138" s="583" t="str">
        <f>A39</f>
        <v>Ready P-8A Tactical Support Mission Systems (C)</v>
      </c>
      <c r="B138" s="586">
        <f>HLOOKUP($B$136,'P-8A Mission System Summary'!$B$1:$G$13,3,FALSE)</f>
        <v>0.62598778306718283</v>
      </c>
    </row>
    <row r="139" spans="1:20" s="57" customFormat="1" ht="11.25" x14ac:dyDescent="0.2">
      <c r="A139" s="583" t="str">
        <f t="shared" ref="A139:A147" si="51">A40</f>
        <v>Ready P-8A Weapon Mission Systems (D)</v>
      </c>
      <c r="B139" s="586">
        <f>HLOOKUP($B$136,'P-8A Mission System Summary'!$B$1:$G$13,4,FALSE)</f>
        <v>0.18118599422234255</v>
      </c>
    </row>
    <row r="140" spans="1:20" s="57" customFormat="1" ht="11.25" x14ac:dyDescent="0.2">
      <c r="A140" s="583" t="str">
        <f t="shared" si="51"/>
        <v>Ready P-8A Countermeasures Mission Systems (E)</v>
      </c>
      <c r="B140" s="586">
        <f>HLOOKUP($B$136,'P-8A Mission System Summary'!$B$1:$G$13,5,FALSE)</f>
        <v>5.6646163589436062E-2</v>
      </c>
    </row>
    <row r="141" spans="1:20" s="57" customFormat="1" ht="11.25" x14ac:dyDescent="0.2">
      <c r="A141" s="583" t="str">
        <f t="shared" si="51"/>
        <v>Ready P-8A Surveillance Mission Systems (F)</v>
      </c>
      <c r="B141" s="586">
        <f>HLOOKUP($B$136,'P-8A Mission System Summary'!$B$1:$G$13,6,FALSE)</f>
        <v>0.34359371710706715</v>
      </c>
    </row>
    <row r="142" spans="1:20" s="57" customFormat="1" ht="11.25" x14ac:dyDescent="0.2">
      <c r="A142" s="583" t="str">
        <f t="shared" si="51"/>
        <v>Ready P-8A ASUW Mission Systems (G)</v>
      </c>
      <c r="B142" s="586">
        <f>HLOOKUP($B$136,'P-8A Mission System Summary'!$B$1:$G$13,7,FALSE)</f>
        <v>3.8354375965227921E-2</v>
      </c>
    </row>
    <row r="143" spans="1:20" s="57" customFormat="1" ht="11.25" x14ac:dyDescent="0.2">
      <c r="A143" s="583" t="str">
        <f t="shared" si="51"/>
        <v>Ready P-8A ASW Mission Systems (H)</v>
      </c>
      <c r="B143" s="586">
        <f>HLOOKUP($B$136,'P-8A Mission System Summary'!$B$1:$G$13,8,FALSE)</f>
        <v>0.34188129443586474</v>
      </c>
    </row>
    <row r="144" spans="1:20" s="57" customFormat="1" ht="11.25" x14ac:dyDescent="0.2">
      <c r="A144" s="583" t="str">
        <f t="shared" si="51"/>
        <v>Ready P-8A C4I Mission Systems (I)</v>
      </c>
      <c r="B144" s="586">
        <f>HLOOKUP($B$136,'P-8A Mission System Summary'!$B$1:$G$13,9,FALSE)</f>
        <v>2.9831181306288385E-2</v>
      </c>
    </row>
    <row r="145" spans="1:2" s="57" customFormat="1" ht="11.25" x14ac:dyDescent="0.2">
      <c r="A145" s="583" t="str">
        <f>A46</f>
        <v>Ready P-8A Basic Tactical Mission Systems (J)</v>
      </c>
      <c r="B145" s="586">
        <f>HLOOKUP($B$136,'P-8A Mission System Summary'!$B$1:$G$13,10,FALSE)</f>
        <v>0.64427957069139086</v>
      </c>
    </row>
    <row r="146" spans="1:2" s="57" customFormat="1" ht="11.25" x14ac:dyDescent="0.2">
      <c r="A146" s="583" t="str">
        <f t="shared" si="51"/>
        <v>Ready P-8A Mobility Mission Systems (K)</v>
      </c>
      <c r="B146" s="586">
        <f>HLOOKUP($B$136,'P-8A Mission System Summary'!$B$1:$G$13,11,FALSE)</f>
        <v>0.49512366415994885</v>
      </c>
    </row>
    <row r="147" spans="1:2" s="57" customFormat="1" ht="11.25" x14ac:dyDescent="0.2">
      <c r="A147" s="583" t="str">
        <f t="shared" si="51"/>
        <v>Ready P-8A IMC Flight Mission Systems (L)</v>
      </c>
      <c r="B147" s="586">
        <f>HLOOKUP($B$136,'P-8A Mission System Summary'!$B$1:$G$13,12,FALSE)</f>
        <v>1</v>
      </c>
    </row>
    <row r="148" spans="1:2" s="57" customFormat="1" ht="11.25" x14ac:dyDescent="0.2">
      <c r="A148" s="286"/>
    </row>
    <row r="149" spans="1:2" s="57" customFormat="1" ht="11.25" x14ac:dyDescent="0.2">
      <c r="A149" s="286"/>
    </row>
    <row r="150" spans="1:2" s="57" customFormat="1" ht="11.25" x14ac:dyDescent="0.2">
      <c r="A150" s="286"/>
    </row>
    <row r="151" spans="1:2" s="57" customFormat="1" ht="11.25" x14ac:dyDescent="0.2">
      <c r="A151" s="286"/>
    </row>
    <row r="152" spans="1:2" s="57" customFormat="1" ht="11.25" x14ac:dyDescent="0.2">
      <c r="A152" s="286"/>
    </row>
    <row r="153" spans="1:2" s="57" customFormat="1" ht="11.25" x14ac:dyDescent="0.2">
      <c r="A153" s="286"/>
    </row>
    <row r="154" spans="1:2" s="57" customFormat="1" ht="11.25" x14ac:dyDescent="0.2">
      <c r="A154" s="286"/>
    </row>
    <row r="155" spans="1:2" s="57" customFormat="1" ht="11.25" x14ac:dyDescent="0.2">
      <c r="A155" s="286"/>
    </row>
    <row r="156" spans="1:2" s="57" customFormat="1" ht="11.25" x14ac:dyDescent="0.2">
      <c r="A156" s="286"/>
    </row>
    <row r="157" spans="1:2" s="57" customFormat="1" ht="11.25" x14ac:dyDescent="0.2">
      <c r="A157" s="286"/>
    </row>
    <row r="158" spans="1:2" s="57" customFormat="1" ht="11.25" x14ac:dyDescent="0.2">
      <c r="A158" s="286"/>
    </row>
    <row r="159" spans="1:2" s="57" customFormat="1" ht="11.25" x14ac:dyDescent="0.2">
      <c r="A159" s="286"/>
    </row>
    <row r="160" spans="1:2" s="57" customFormat="1" ht="11.25" x14ac:dyDescent="0.2">
      <c r="A160" s="286"/>
    </row>
    <row r="161" spans="1:2" s="57" customFormat="1" ht="11.25" x14ac:dyDescent="0.2">
      <c r="A161" s="286"/>
    </row>
    <row r="162" spans="1:2" s="57" customFormat="1" ht="11.25" x14ac:dyDescent="0.2">
      <c r="A162" s="286"/>
    </row>
    <row r="163" spans="1:2" s="57" customFormat="1" ht="11.25" x14ac:dyDescent="0.2">
      <c r="A163" s="286"/>
    </row>
    <row r="164" spans="1:2" s="57" customFormat="1" ht="11.25" x14ac:dyDescent="0.2">
      <c r="A164" s="286"/>
    </row>
    <row r="165" spans="1:2" s="57" customFormat="1" ht="11.25" x14ac:dyDescent="0.2">
      <c r="A165" s="286"/>
    </row>
    <row r="166" spans="1:2" s="57" customFormat="1" ht="11.25" x14ac:dyDescent="0.2">
      <c r="A166" s="286"/>
    </row>
    <row r="167" spans="1:2" s="57" customFormat="1" ht="11.25" x14ac:dyDescent="0.2">
      <c r="A167" s="286"/>
    </row>
    <row r="168" spans="1:2" s="57" customFormat="1" ht="11.25" x14ac:dyDescent="0.2">
      <c r="A168" s="286"/>
    </row>
    <row r="169" spans="1:2" s="57" customFormat="1" ht="11.25" x14ac:dyDescent="0.2">
      <c r="A169" s="286"/>
    </row>
    <row r="170" spans="1:2" s="57" customFormat="1" ht="11.25" x14ac:dyDescent="0.2">
      <c r="A170" s="286"/>
    </row>
    <row r="171" spans="1:2" s="57" customFormat="1" ht="11.25" x14ac:dyDescent="0.2">
      <c r="A171" s="286"/>
    </row>
    <row r="172" spans="1:2" s="57" customFormat="1" ht="11.25" x14ac:dyDescent="0.2">
      <c r="A172" s="286"/>
    </row>
    <row r="173" spans="1:2" s="57" customFormat="1" ht="11.25" x14ac:dyDescent="0.2">
      <c r="A173" s="286"/>
    </row>
    <row r="174" spans="1:2" s="57" customFormat="1" ht="11.25" x14ac:dyDescent="0.2">
      <c r="A174" s="231"/>
      <c r="B174" s="166"/>
    </row>
    <row r="175" spans="1:2" s="57" customFormat="1" ht="11.25" x14ac:dyDescent="0.2">
      <c r="A175" s="231"/>
      <c r="B175" s="166"/>
    </row>
    <row r="176" spans="1:2" s="57" customFormat="1" ht="11.25" x14ac:dyDescent="0.2">
      <c r="A176" s="231"/>
      <c r="B176" s="166"/>
    </row>
    <row r="177" spans="1:20" s="57" customFormat="1" ht="11.25" x14ac:dyDescent="0.2">
      <c r="A177" s="231"/>
      <c r="B177" s="166"/>
    </row>
    <row r="178" spans="1:20" s="57" customFormat="1" ht="11.25" x14ac:dyDescent="0.2">
      <c r="A178" s="231"/>
      <c r="B178" s="166"/>
    </row>
    <row r="179" spans="1:20" s="57" customFormat="1" ht="11.25" x14ac:dyDescent="0.2">
      <c r="A179" s="231"/>
      <c r="B179" s="166"/>
    </row>
    <row r="180" spans="1:20" s="57" customFormat="1" ht="11.25" x14ac:dyDescent="0.2">
      <c r="A180" s="231"/>
      <c r="B180" s="166"/>
    </row>
    <row r="181" spans="1:20" s="57" customFormat="1" ht="11.25" x14ac:dyDescent="0.2">
      <c r="A181" s="231"/>
      <c r="B181" s="166"/>
    </row>
    <row r="182" spans="1:20" s="57" customFormat="1" ht="11.25" x14ac:dyDescent="0.2">
      <c r="A182" s="231"/>
      <c r="B182" s="166"/>
    </row>
    <row r="183" spans="1:20" ht="11.25" x14ac:dyDescent="0.2">
      <c r="C183" s="57"/>
      <c r="D183" s="57"/>
      <c r="E183" s="57"/>
      <c r="F183" s="57"/>
      <c r="G183" s="57"/>
      <c r="H183" s="57"/>
      <c r="I183" s="57"/>
      <c r="J183" s="57"/>
      <c r="K183" s="57"/>
      <c r="L183" s="57"/>
      <c r="M183" s="57"/>
      <c r="N183" s="57"/>
      <c r="O183" s="57"/>
      <c r="P183" s="57"/>
      <c r="Q183" s="57"/>
      <c r="R183" s="57"/>
      <c r="S183" s="57"/>
      <c r="T183" s="57"/>
    </row>
  </sheetData>
  <mergeCells count="19">
    <mergeCell ref="N16:S16"/>
    <mergeCell ref="B49:G49"/>
    <mergeCell ref="H49:M49"/>
    <mergeCell ref="N49:S49"/>
    <mergeCell ref="A81:T81"/>
    <mergeCell ref="B16:G16"/>
    <mergeCell ref="H16:M16"/>
    <mergeCell ref="D119:E119"/>
    <mergeCell ref="F119:G119"/>
    <mergeCell ref="A1:B1"/>
    <mergeCell ref="K4:M4"/>
    <mergeCell ref="K5:M5"/>
    <mergeCell ref="H8:M8"/>
    <mergeCell ref="H1:K1"/>
    <mergeCell ref="A92:B92"/>
    <mergeCell ref="A115:B115"/>
    <mergeCell ref="A91:B91"/>
    <mergeCell ref="D91:I91"/>
    <mergeCell ref="L91:M91"/>
  </mergeCells>
  <conditionalFormatting sqref="F121">
    <cfRule type="cellIs" dxfId="65" priority="33" operator="equal">
      <formula>E121</formula>
    </cfRule>
  </conditionalFormatting>
  <conditionalFormatting sqref="F121">
    <cfRule type="cellIs" dxfId="64" priority="29" operator="equal">
      <formula>E121</formula>
    </cfRule>
  </conditionalFormatting>
  <conditionalFormatting sqref="C121 C127:C132">
    <cfRule type="cellIs" dxfId="63" priority="30" operator="equal">
      <formula>B121</formula>
    </cfRule>
  </conditionalFormatting>
  <conditionalFormatting sqref="D121:E132">
    <cfRule type="cellIs" dxfId="62" priority="28" operator="equal">
      <formula>C121</formula>
    </cfRule>
  </conditionalFormatting>
  <conditionalFormatting sqref="F121">
    <cfRule type="cellIs" dxfId="61" priority="27" operator="equal">
      <formula>E121</formula>
    </cfRule>
  </conditionalFormatting>
  <conditionalFormatting sqref="C121">
    <cfRule type="cellIs" dxfId="60" priority="26" operator="equal">
      <formula>B121</formula>
    </cfRule>
  </conditionalFormatting>
  <conditionalFormatting sqref="E121:E122">
    <cfRule type="cellIs" dxfId="59" priority="24" operator="equal">
      <formula>D121</formula>
    </cfRule>
  </conditionalFormatting>
  <conditionalFormatting sqref="C121:C123">
    <cfRule type="cellIs" dxfId="58" priority="22" operator="equal">
      <formula>B121</formula>
    </cfRule>
  </conditionalFormatting>
  <conditionalFormatting sqref="F122:F123 F127:F132">
    <cfRule type="cellIs" dxfId="57" priority="23" operator="equal">
      <formula>E122</formula>
    </cfRule>
    <cfRule type="cellIs" dxfId="56" priority="31" operator="equal">
      <formula>G122</formula>
    </cfRule>
  </conditionalFormatting>
  <conditionalFormatting sqref="C126">
    <cfRule type="cellIs" dxfId="55" priority="14" operator="equal">
      <formula>B126</formula>
    </cfRule>
  </conditionalFormatting>
  <conditionalFormatting sqref="F126">
    <cfRule type="cellIs" dxfId="54" priority="15" operator="equal">
      <formula>E126</formula>
    </cfRule>
    <cfRule type="cellIs" dxfId="53" priority="16" operator="equal">
      <formula>G126</formula>
    </cfRule>
  </conditionalFormatting>
  <conditionalFormatting sqref="C125">
    <cfRule type="cellIs" dxfId="52" priority="10" operator="equal">
      <formula>B125</formula>
    </cfRule>
  </conditionalFormatting>
  <conditionalFormatting sqref="F125">
    <cfRule type="cellIs" dxfId="51" priority="11" operator="equal">
      <formula>E125</formula>
    </cfRule>
    <cfRule type="cellIs" dxfId="50" priority="12" operator="equal">
      <formula>G125</formula>
    </cfRule>
  </conditionalFormatting>
  <conditionalFormatting sqref="C124">
    <cfRule type="cellIs" dxfId="49" priority="6" operator="equal">
      <formula>B124</formula>
    </cfRule>
  </conditionalFormatting>
  <conditionalFormatting sqref="F124">
    <cfRule type="cellIs" dxfId="48" priority="7" operator="equal">
      <formula>E124</formula>
    </cfRule>
    <cfRule type="cellIs" dxfId="47" priority="8" operator="equal">
      <formula>G124</formula>
    </cfRule>
  </conditionalFormatting>
  <conditionalFormatting sqref="D133:E133">
    <cfRule type="cellIs" dxfId="46" priority="4" operator="equal">
      <formula>C133</formula>
    </cfRule>
  </conditionalFormatting>
  <conditionalFormatting sqref="E133">
    <cfRule type="cellIs" dxfId="45" priority="3" operator="equal">
      <formula>D133</formula>
    </cfRule>
  </conditionalFormatting>
  <conditionalFormatting sqref="C133">
    <cfRule type="cellIs" dxfId="44" priority="1" operator="equal">
      <formula>B133</formula>
    </cfRule>
  </conditionalFormatting>
  <conditionalFormatting sqref="F133">
    <cfRule type="cellIs" dxfId="43" priority="2" operator="equal">
      <formula>E133</formula>
    </cfRule>
    <cfRule type="cellIs" dxfId="42" priority="5" operator="equal">
      <formula>G133</formula>
    </cfRule>
  </conditionalFormatting>
  <hyperlinks>
    <hyperlink ref="H2" location="Inventory!A1" display="Inventory" xr:uid="{00000000-0004-0000-0200-000000000000}"/>
    <hyperlink ref="I119" location="Inventory!A1" display="Inventory" xr:uid="{00000000-0004-0000-0200-000001000000}"/>
    <hyperlink ref="I120" location="'P-8A Standard (U)'!A1" display="Top" xr:uid="{00000000-0004-0000-0200-000002000000}"/>
    <hyperlink ref="H3" location="'P-8A Standard (U)'!A134" display="AMFOM" xr:uid="{00000000-0004-0000-0200-000003000000}"/>
  </hyperlinks>
  <pageMargins left="0.7" right="0.7" top="0.75" bottom="0.75" header="0.3" footer="0.3"/>
  <pageSetup scale="28" fitToHeight="2" orientation="portrait" r:id="rId1"/>
  <rowBreaks count="1" manualBreakCount="1">
    <brk id="7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K255"/>
  <sheetViews>
    <sheetView showGridLines="0" workbookViewId="0">
      <selection activeCell="H2" sqref="H2"/>
    </sheetView>
  </sheetViews>
  <sheetFormatPr defaultColWidth="9.140625" defaultRowHeight="8.25" x14ac:dyDescent="0.15"/>
  <cols>
    <col min="1" max="1" width="47.42578125" style="2" customWidth="1"/>
    <col min="2" max="22" width="6.42578125" style="1" customWidth="1"/>
    <col min="23" max="23" width="12.42578125" style="1" bestFit="1" customWidth="1"/>
    <col min="24" max="27" width="6.42578125" style="1" customWidth="1"/>
    <col min="28" max="16384" width="9.140625" style="1"/>
  </cols>
  <sheetData>
    <row r="1" spans="1:26" s="166" customFormat="1" ht="24" x14ac:dyDescent="0.3">
      <c r="A1" s="683" t="s">
        <v>186</v>
      </c>
      <c r="B1" s="683"/>
      <c r="C1" s="164" t="s">
        <v>187</v>
      </c>
      <c r="D1" s="165" t="s">
        <v>188</v>
      </c>
      <c r="G1" s="163" t="s">
        <v>42</v>
      </c>
      <c r="H1" s="665">
        <v>44835</v>
      </c>
      <c r="I1" s="665"/>
      <c r="J1" s="665"/>
      <c r="K1" s="57"/>
      <c r="L1" s="648"/>
      <c r="M1" s="648"/>
      <c r="N1" s="195"/>
      <c r="O1" s="57"/>
      <c r="P1" s="178"/>
      <c r="Q1" s="178"/>
      <c r="R1" s="178"/>
      <c r="S1" s="178"/>
      <c r="T1" s="167"/>
      <c r="U1" s="167"/>
      <c r="V1" s="558" t="s">
        <v>43</v>
      </c>
      <c r="W1" s="559">
        <v>13.02</v>
      </c>
    </row>
    <row r="2" spans="1:26" s="57" customFormat="1" ht="12" x14ac:dyDescent="0.2">
      <c r="A2" s="56" t="s">
        <v>44</v>
      </c>
      <c r="B2" s="418">
        <v>6</v>
      </c>
      <c r="C2" s="58">
        <v>0</v>
      </c>
      <c r="D2" s="58">
        <v>6</v>
      </c>
      <c r="E2" s="59" t="s">
        <v>45</v>
      </c>
      <c r="F2" s="60"/>
      <c r="G2" s="61"/>
      <c r="H2" s="341" t="s">
        <v>46</v>
      </c>
      <c r="I2" s="168"/>
      <c r="J2" s="169"/>
      <c r="K2" s="56"/>
      <c r="L2" s="649"/>
      <c r="M2" s="197"/>
      <c r="N2" s="197"/>
      <c r="O2" s="198"/>
      <c r="P2" s="61"/>
      <c r="Q2" s="61"/>
      <c r="R2" s="61"/>
      <c r="S2" s="61"/>
      <c r="T2" s="45"/>
      <c r="U2" s="47"/>
      <c r="V2" s="48"/>
      <c r="W2" s="48"/>
      <c r="X2" s="48"/>
      <c r="Y2" s="6"/>
      <c r="Z2" s="6"/>
    </row>
    <row r="3" spans="1:26" s="57" customFormat="1" ht="12.75" x14ac:dyDescent="0.2">
      <c r="A3" s="45" t="s">
        <v>47</v>
      </c>
      <c r="B3" s="419">
        <v>1.5</v>
      </c>
      <c r="C3" s="418">
        <v>0</v>
      </c>
      <c r="D3" s="420">
        <v>3</v>
      </c>
      <c r="E3" s="61" t="s">
        <v>48</v>
      </c>
      <c r="H3" s="457" t="s">
        <v>3</v>
      </c>
      <c r="I3" s="168"/>
      <c r="J3" s="168"/>
      <c r="K3" s="168"/>
      <c r="L3" s="168"/>
      <c r="M3" s="168"/>
      <c r="T3" s="45"/>
      <c r="U3" s="47"/>
      <c r="V3" s="48"/>
      <c r="W3" s="6"/>
      <c r="X3" s="6"/>
      <c r="Y3" s="6"/>
      <c r="Z3" s="6"/>
    </row>
    <row r="4" spans="1:26" s="57" customFormat="1" ht="11.25" x14ac:dyDescent="0.2">
      <c r="A4" s="56" t="s">
        <v>49</v>
      </c>
      <c r="B4" s="62">
        <v>9</v>
      </c>
      <c r="F4" s="61"/>
      <c r="G4" s="61"/>
      <c r="H4" s="168"/>
      <c r="I4" s="168"/>
      <c r="J4" s="168"/>
      <c r="K4" s="663"/>
      <c r="L4" s="663"/>
      <c r="M4" s="663"/>
      <c r="T4" s="45"/>
      <c r="U4" s="47"/>
      <c r="V4" s="48"/>
      <c r="W4" s="48"/>
      <c r="X4" s="48"/>
      <c r="Y4" s="48"/>
      <c r="Z4" s="48"/>
    </row>
    <row r="5" spans="1:26" s="57" customFormat="1" ht="11.25" x14ac:dyDescent="0.2">
      <c r="A5" s="56" t="s">
        <v>50</v>
      </c>
      <c r="B5" s="61">
        <v>4.3</v>
      </c>
      <c r="C5" s="61"/>
      <c r="D5" s="61"/>
      <c r="E5" s="61"/>
      <c r="F5" s="61"/>
      <c r="G5" s="61"/>
      <c r="H5" s="168"/>
      <c r="I5" s="169"/>
      <c r="J5" s="172"/>
      <c r="K5" s="663"/>
      <c r="L5" s="663"/>
      <c r="M5" s="663"/>
      <c r="T5" s="45"/>
      <c r="U5" s="50"/>
      <c r="V5" s="48"/>
      <c r="W5" s="48"/>
      <c r="X5" s="48"/>
      <c r="Y5" s="48"/>
      <c r="Z5" s="48"/>
    </row>
    <row r="6" spans="1:26" s="57" customFormat="1" ht="11.25" x14ac:dyDescent="0.2">
      <c r="A6" s="51" t="s">
        <v>51</v>
      </c>
      <c r="B6" s="61">
        <v>22.6</v>
      </c>
      <c r="H6" s="171"/>
      <c r="I6" s="168"/>
      <c r="J6" s="168"/>
      <c r="K6" s="173"/>
      <c r="L6" s="174"/>
      <c r="M6" s="168"/>
      <c r="T6" s="51"/>
      <c r="U6" s="50"/>
      <c r="V6" s="48"/>
      <c r="W6" s="48"/>
      <c r="X6" s="48"/>
      <c r="Y6" s="48"/>
      <c r="Z6" s="48"/>
    </row>
    <row r="7" spans="1:26" s="57" customFormat="1" ht="11.25" x14ac:dyDescent="0.2">
      <c r="A7" s="45" t="s">
        <v>52</v>
      </c>
      <c r="B7" s="49">
        <v>292.5</v>
      </c>
      <c r="H7" s="171"/>
      <c r="I7" s="171"/>
      <c r="J7" s="171"/>
      <c r="K7" s="175"/>
      <c r="L7" s="175"/>
      <c r="M7" s="176"/>
      <c r="N7" s="61"/>
      <c r="O7" s="61"/>
      <c r="P7" s="61"/>
      <c r="Q7" s="61"/>
      <c r="R7" s="61"/>
      <c r="S7" s="61"/>
      <c r="T7" s="45"/>
      <c r="U7" s="52"/>
      <c r="V7" s="6"/>
      <c r="W7" s="48"/>
      <c r="X7" s="48"/>
      <c r="Y7" s="48"/>
      <c r="Z7" s="48"/>
    </row>
    <row r="8" spans="1:26" s="57" customFormat="1" ht="11.25" x14ac:dyDescent="0.2">
      <c r="A8" s="45" t="s">
        <v>53</v>
      </c>
      <c r="B8" s="46">
        <v>68</v>
      </c>
      <c r="C8" s="61"/>
      <c r="D8" s="63"/>
      <c r="H8" s="177"/>
      <c r="I8" s="177"/>
      <c r="J8" s="177"/>
      <c r="K8" s="177"/>
      <c r="L8" s="177"/>
      <c r="M8" s="177"/>
      <c r="N8" s="177"/>
      <c r="O8" s="177"/>
      <c r="P8" s="177"/>
      <c r="Q8" s="177"/>
      <c r="R8" s="177"/>
      <c r="S8" s="177"/>
      <c r="T8" s="45"/>
      <c r="U8" s="47"/>
      <c r="V8" s="6"/>
      <c r="W8" s="48"/>
      <c r="X8" s="48"/>
      <c r="Y8" s="48"/>
      <c r="Z8" s="48"/>
    </row>
    <row r="9" spans="1:26" s="57" customFormat="1" ht="11.25" x14ac:dyDescent="0.2">
      <c r="A9" s="56" t="s">
        <v>54</v>
      </c>
      <c r="B9" s="57">
        <v>25.2</v>
      </c>
      <c r="C9" s="61">
        <v>2.8</v>
      </c>
      <c r="D9" s="6" t="s">
        <v>55</v>
      </c>
      <c r="E9" s="61"/>
      <c r="F9" s="48"/>
      <c r="G9" s="53" t="s">
        <v>56</v>
      </c>
      <c r="H9" s="54">
        <v>0.4</v>
      </c>
      <c r="I9" s="649"/>
      <c r="J9" s="649"/>
      <c r="K9" s="649"/>
      <c r="L9" s="649"/>
      <c r="M9" s="649"/>
      <c r="N9" s="649"/>
      <c r="O9" s="649"/>
      <c r="P9" s="649"/>
      <c r="Q9" s="649"/>
      <c r="R9" s="649"/>
      <c r="S9" s="649"/>
      <c r="T9" s="45"/>
      <c r="U9" s="47"/>
      <c r="V9" s="6"/>
      <c r="W9" s="48"/>
      <c r="X9" s="48"/>
      <c r="Y9" s="53"/>
      <c r="Z9" s="54"/>
    </row>
    <row r="10" spans="1:26" s="57" customFormat="1" ht="11.25" x14ac:dyDescent="0.2">
      <c r="A10" s="56" t="s">
        <v>57</v>
      </c>
      <c r="B10" s="57">
        <v>62.1</v>
      </c>
      <c r="C10" s="61">
        <v>6.9</v>
      </c>
      <c r="D10" s="6" t="s">
        <v>55</v>
      </c>
      <c r="E10" s="61"/>
      <c r="F10" s="48"/>
      <c r="G10" s="55" t="s">
        <v>58</v>
      </c>
      <c r="H10" s="54">
        <v>0.61</v>
      </c>
      <c r="I10" s="649"/>
      <c r="J10" s="649"/>
      <c r="K10" s="649"/>
      <c r="L10" s="649"/>
      <c r="M10" s="649"/>
      <c r="N10" s="649"/>
      <c r="O10" s="649"/>
      <c r="P10" s="649"/>
      <c r="Q10" s="649"/>
      <c r="R10" s="649"/>
      <c r="S10" s="649"/>
      <c r="T10" s="45"/>
      <c r="U10" s="47"/>
      <c r="V10" s="6"/>
      <c r="W10" s="48"/>
      <c r="X10" s="48"/>
      <c r="Y10" s="55"/>
      <c r="Z10" s="54"/>
    </row>
    <row r="11" spans="1:26" s="57" customFormat="1" ht="11.25" x14ac:dyDescent="0.2">
      <c r="A11" s="298" t="s">
        <v>59</v>
      </c>
      <c r="B11" s="232">
        <v>72</v>
      </c>
      <c r="C11" s="299">
        <v>8</v>
      </c>
      <c r="D11" s="300" t="s">
        <v>55</v>
      </c>
      <c r="E11" s="300"/>
      <c r="F11" s="61"/>
      <c r="G11" s="61"/>
      <c r="H11" s="649"/>
      <c r="I11" s="649"/>
      <c r="J11" s="649"/>
      <c r="K11" s="649"/>
      <c r="L11" s="649"/>
      <c r="M11" s="649"/>
      <c r="N11" s="649"/>
      <c r="O11" s="649"/>
      <c r="P11" s="649"/>
      <c r="Q11" s="649"/>
      <c r="R11" s="649"/>
      <c r="S11" s="649"/>
      <c r="T11" s="649"/>
      <c r="U11" s="61"/>
      <c r="V11" s="61"/>
      <c r="W11" s="61"/>
      <c r="X11" s="61"/>
      <c r="Y11" s="61"/>
    </row>
    <row r="12" spans="1:26" s="57" customFormat="1" ht="11.25" x14ac:dyDescent="0.2">
      <c r="E12" s="61"/>
      <c r="F12" s="61"/>
      <c r="G12" s="61"/>
      <c r="H12" s="649"/>
      <c r="I12" s="649"/>
      <c r="J12" s="649"/>
      <c r="K12" s="649"/>
      <c r="L12" s="649"/>
      <c r="M12" s="649"/>
      <c r="N12" s="649"/>
      <c r="O12" s="649"/>
      <c r="P12" s="649"/>
      <c r="Q12" s="649"/>
      <c r="R12" s="649"/>
      <c r="S12" s="649"/>
      <c r="T12" s="649"/>
      <c r="U12" s="61"/>
      <c r="V12" s="61"/>
      <c r="W12" s="61"/>
      <c r="X12" s="61"/>
      <c r="Y12" s="61"/>
    </row>
    <row r="13" spans="1:26" s="75" customFormat="1" ht="59.25" x14ac:dyDescent="0.2">
      <c r="A13" s="71" t="s">
        <v>60</v>
      </c>
      <c r="B13" s="72" t="s">
        <v>61</v>
      </c>
      <c r="C13" s="72" t="s">
        <v>61</v>
      </c>
      <c r="D13" s="72" t="s">
        <v>61</v>
      </c>
      <c r="E13" s="72" t="s">
        <v>61</v>
      </c>
      <c r="F13" s="72" t="s">
        <v>61</v>
      </c>
      <c r="G13" s="72" t="s">
        <v>61</v>
      </c>
      <c r="H13" s="72" t="s">
        <v>189</v>
      </c>
      <c r="I13" s="72" t="s">
        <v>189</v>
      </c>
      <c r="J13" s="72" t="s">
        <v>189</v>
      </c>
      <c r="K13" s="72" t="s">
        <v>189</v>
      </c>
      <c r="L13" s="72" t="s">
        <v>189</v>
      </c>
      <c r="M13" s="72" t="s">
        <v>189</v>
      </c>
      <c r="N13" s="73" t="s">
        <v>63</v>
      </c>
      <c r="O13" s="73" t="s">
        <v>63</v>
      </c>
      <c r="P13" s="73" t="s">
        <v>63</v>
      </c>
      <c r="Q13" s="73" t="s">
        <v>63</v>
      </c>
      <c r="R13" s="73" t="s">
        <v>63</v>
      </c>
      <c r="S13" s="72" t="s">
        <v>63</v>
      </c>
      <c r="T13" s="411" t="s">
        <v>190</v>
      </c>
      <c r="U13" s="74"/>
    </row>
    <row r="14" spans="1:26" s="75" customFormat="1" ht="12" x14ac:dyDescent="0.2">
      <c r="A14" s="71" t="s">
        <v>65</v>
      </c>
      <c r="B14" s="76" t="s">
        <v>66</v>
      </c>
      <c r="C14" s="76" t="s">
        <v>67</v>
      </c>
      <c r="D14" s="76" t="s">
        <v>68</v>
      </c>
      <c r="E14" s="76" t="s">
        <v>69</v>
      </c>
      <c r="F14" s="76" t="s">
        <v>70</v>
      </c>
      <c r="G14" s="76" t="s">
        <v>71</v>
      </c>
      <c r="H14" s="76" t="s">
        <v>72</v>
      </c>
      <c r="I14" s="76" t="s">
        <v>73</v>
      </c>
      <c r="J14" s="76" t="s">
        <v>74</v>
      </c>
      <c r="K14" s="76" t="s">
        <v>75</v>
      </c>
      <c r="L14" s="76" t="s">
        <v>76</v>
      </c>
      <c r="M14" s="76" t="s">
        <v>77</v>
      </c>
      <c r="N14" s="77" t="s">
        <v>78</v>
      </c>
      <c r="O14" s="77" t="s">
        <v>79</v>
      </c>
      <c r="P14" s="77" t="s">
        <v>80</v>
      </c>
      <c r="Q14" s="77" t="s">
        <v>81</v>
      </c>
      <c r="R14" s="77" t="s">
        <v>82</v>
      </c>
      <c r="S14" s="650" t="s">
        <v>83</v>
      </c>
      <c r="T14" s="412" t="s">
        <v>84</v>
      </c>
      <c r="U14" s="78"/>
    </row>
    <row r="15" spans="1:26" s="75" customFormat="1" ht="12" x14ac:dyDescent="0.2">
      <c r="A15" s="71" t="s">
        <v>85</v>
      </c>
      <c r="B15" s="79">
        <v>1</v>
      </c>
      <c r="C15" s="79">
        <v>2</v>
      </c>
      <c r="D15" s="79">
        <v>3</v>
      </c>
      <c r="E15" s="79">
        <v>4</v>
      </c>
      <c r="F15" s="79">
        <v>5</v>
      </c>
      <c r="G15" s="79">
        <v>6</v>
      </c>
      <c r="H15" s="79">
        <v>7</v>
      </c>
      <c r="I15" s="79">
        <v>8</v>
      </c>
      <c r="J15" s="79">
        <v>9</v>
      </c>
      <c r="K15" s="79">
        <v>10</v>
      </c>
      <c r="L15" s="79">
        <v>11</v>
      </c>
      <c r="M15" s="79">
        <v>12</v>
      </c>
      <c r="N15" s="79">
        <v>13</v>
      </c>
      <c r="O15" s="79">
        <v>14</v>
      </c>
      <c r="P15" s="79">
        <v>15</v>
      </c>
      <c r="Q15" s="79">
        <v>16</v>
      </c>
      <c r="R15" s="79">
        <v>17</v>
      </c>
      <c r="S15" s="186">
        <v>18</v>
      </c>
      <c r="T15" s="412">
        <v>28</v>
      </c>
      <c r="U15" s="78"/>
    </row>
    <row r="16" spans="1:26" s="65" customFormat="1" ht="12.75" x14ac:dyDescent="0.2">
      <c r="A16" s="71" t="s">
        <v>86</v>
      </c>
      <c r="B16" s="678" t="s">
        <v>87</v>
      </c>
      <c r="C16" s="672"/>
      <c r="D16" s="672"/>
      <c r="E16" s="672"/>
      <c r="F16" s="672"/>
      <c r="G16" s="679"/>
      <c r="H16" s="680" t="s">
        <v>88</v>
      </c>
      <c r="I16" s="681"/>
      <c r="J16" s="681"/>
      <c r="K16" s="681"/>
      <c r="L16" s="681"/>
      <c r="M16" s="684"/>
      <c r="N16" s="680" t="s">
        <v>63</v>
      </c>
      <c r="O16" s="681"/>
      <c r="P16" s="681"/>
      <c r="Q16" s="682"/>
      <c r="R16" s="682"/>
      <c r="S16" s="682"/>
      <c r="T16" s="412" t="s">
        <v>191</v>
      </c>
      <c r="U16" s="80"/>
    </row>
    <row r="17" spans="1:22" s="65" customFormat="1" ht="12.75" x14ac:dyDescent="0.2">
      <c r="A17" s="206" t="s">
        <v>90</v>
      </c>
      <c r="B17" s="650"/>
      <c r="C17" s="651"/>
      <c r="D17" s="651"/>
      <c r="E17" s="651"/>
      <c r="F17" s="651"/>
      <c r="G17" s="651"/>
      <c r="H17" s="651"/>
      <c r="I17" s="651"/>
      <c r="J17" s="651"/>
      <c r="K17" s="651"/>
      <c r="L17" s="651"/>
      <c r="M17" s="651"/>
      <c r="N17" s="651"/>
      <c r="O17" s="651"/>
      <c r="P17" s="651"/>
      <c r="Q17" s="651"/>
      <c r="R17" s="651"/>
      <c r="S17" s="651"/>
      <c r="T17" s="77"/>
      <c r="U17" s="80"/>
    </row>
    <row r="18" spans="1:22" s="65" customFormat="1" ht="12" x14ac:dyDescent="0.2">
      <c r="A18" s="208" t="s">
        <v>91</v>
      </c>
      <c r="B18" s="39">
        <f t="shared" ref="B18:P18" si="0">IF(B94&lt;80,B95,MIN(B94,80))</f>
        <v>80</v>
      </c>
      <c r="C18" s="39">
        <f t="shared" si="0"/>
        <v>43.548198303009002</v>
      </c>
      <c r="D18" s="39">
        <f t="shared" si="0"/>
        <v>13.646237518695267</v>
      </c>
      <c r="E18" s="39">
        <f t="shared" si="0"/>
        <v>0.9011394794795855</v>
      </c>
      <c r="F18" s="39">
        <f t="shared" si="0"/>
        <v>12.665845361832526</v>
      </c>
      <c r="G18" s="39">
        <f t="shared" si="0"/>
        <v>24.430551244185466</v>
      </c>
      <c r="H18" s="39">
        <f t="shared" si="0"/>
        <v>36.195257126538394</v>
      </c>
      <c r="I18" s="39">
        <f t="shared" si="0"/>
        <v>52.861923793205058</v>
      </c>
      <c r="J18" s="39">
        <f t="shared" si="0"/>
        <v>61.685453204969782</v>
      </c>
      <c r="K18" s="39">
        <f t="shared" si="0"/>
        <v>80</v>
      </c>
      <c r="L18" s="39">
        <f t="shared" si="0"/>
        <v>80</v>
      </c>
      <c r="M18" s="39">
        <f t="shared" si="0"/>
        <v>80</v>
      </c>
      <c r="N18" s="39">
        <f t="shared" si="0"/>
        <v>80</v>
      </c>
      <c r="O18" s="39">
        <f t="shared" si="0"/>
        <v>80</v>
      </c>
      <c r="P18" s="39">
        <f t="shared" si="0"/>
        <v>80</v>
      </c>
      <c r="Q18" s="39">
        <v>80</v>
      </c>
      <c r="R18" s="39">
        <v>80</v>
      </c>
      <c r="S18" s="133">
        <v>80</v>
      </c>
      <c r="T18" s="39">
        <v>55</v>
      </c>
      <c r="U18" s="80"/>
    </row>
    <row r="19" spans="1:22" s="65" customFormat="1" ht="12" x14ac:dyDescent="0.2">
      <c r="A19" s="211" t="s">
        <v>92</v>
      </c>
      <c r="B19" s="303">
        <v>0.4</v>
      </c>
      <c r="C19" s="303">
        <v>0.5</v>
      </c>
      <c r="D19" s="303">
        <v>0.5</v>
      </c>
      <c r="E19" s="303">
        <v>0.5</v>
      </c>
      <c r="F19" s="303">
        <v>0.5</v>
      </c>
      <c r="G19" s="303">
        <v>0.55000000000000004</v>
      </c>
      <c r="H19" s="303">
        <v>0.6</v>
      </c>
      <c r="I19" s="303">
        <v>0.65</v>
      </c>
      <c r="J19" s="303">
        <v>0.7</v>
      </c>
      <c r="K19" s="303">
        <v>0.7</v>
      </c>
      <c r="L19" s="303">
        <v>0.7</v>
      </c>
      <c r="M19" s="303">
        <v>0.4</v>
      </c>
      <c r="N19" s="303">
        <v>0.8</v>
      </c>
      <c r="O19" s="303">
        <v>0.8</v>
      </c>
      <c r="P19" s="303">
        <v>0.8</v>
      </c>
      <c r="Q19" s="303">
        <v>0.8</v>
      </c>
      <c r="R19" s="303">
        <v>0.8</v>
      </c>
      <c r="S19" s="304">
        <v>0.8</v>
      </c>
      <c r="T19" s="413">
        <f>H9</f>
        <v>0.4</v>
      </c>
      <c r="U19" s="80"/>
    </row>
    <row r="20" spans="1:22" s="65" customFormat="1" ht="12" x14ac:dyDescent="0.2">
      <c r="A20" s="301" t="s">
        <v>93</v>
      </c>
      <c r="B20" s="81"/>
      <c r="C20" s="306"/>
      <c r="D20" s="306"/>
      <c r="E20" s="306"/>
      <c r="F20" s="306"/>
      <c r="G20" s="306"/>
      <c r="H20" s="306"/>
      <c r="I20" s="306"/>
      <c r="J20" s="306"/>
      <c r="K20" s="306"/>
      <c r="L20" s="306"/>
      <c r="M20" s="306"/>
      <c r="N20" s="306"/>
      <c r="O20" s="306"/>
      <c r="P20" s="306"/>
      <c r="Q20" s="442"/>
      <c r="R20" s="442"/>
      <c r="S20" s="442"/>
      <c r="T20" s="413"/>
      <c r="U20" s="80"/>
    </row>
    <row r="21" spans="1:22" s="65" customFormat="1" ht="12" x14ac:dyDescent="0.2">
      <c r="A21" s="213" t="s">
        <v>94</v>
      </c>
      <c r="B21" s="305">
        <f t="shared" ref="B21:T21" si="1">B19*$B$8</f>
        <v>27.200000000000003</v>
      </c>
      <c r="C21" s="305">
        <f t="shared" si="1"/>
        <v>34</v>
      </c>
      <c r="D21" s="305">
        <f t="shared" si="1"/>
        <v>34</v>
      </c>
      <c r="E21" s="305">
        <f t="shared" si="1"/>
        <v>34</v>
      </c>
      <c r="F21" s="305">
        <f t="shared" si="1"/>
        <v>34</v>
      </c>
      <c r="G21" s="305">
        <f t="shared" si="1"/>
        <v>37.400000000000006</v>
      </c>
      <c r="H21" s="305">
        <f t="shared" si="1"/>
        <v>40.799999999999997</v>
      </c>
      <c r="I21" s="305">
        <f t="shared" si="1"/>
        <v>44.2</v>
      </c>
      <c r="J21" s="305">
        <f t="shared" si="1"/>
        <v>47.599999999999994</v>
      </c>
      <c r="K21" s="305">
        <f t="shared" si="1"/>
        <v>47.599999999999994</v>
      </c>
      <c r="L21" s="305">
        <f t="shared" si="1"/>
        <v>47.599999999999994</v>
      </c>
      <c r="M21" s="305">
        <f t="shared" si="1"/>
        <v>27.200000000000003</v>
      </c>
      <c r="N21" s="305">
        <f t="shared" si="1"/>
        <v>54.400000000000006</v>
      </c>
      <c r="O21" s="305">
        <f t="shared" si="1"/>
        <v>54.400000000000006</v>
      </c>
      <c r="P21" s="305">
        <f t="shared" si="1"/>
        <v>54.400000000000006</v>
      </c>
      <c r="Q21" s="414">
        <f t="shared" si="1"/>
        <v>54.400000000000006</v>
      </c>
      <c r="R21" s="414">
        <f t="shared" si="1"/>
        <v>54.400000000000006</v>
      </c>
      <c r="S21" s="134">
        <f t="shared" si="1"/>
        <v>54.400000000000006</v>
      </c>
      <c r="T21" s="414">
        <f t="shared" si="1"/>
        <v>27.200000000000003</v>
      </c>
      <c r="U21" s="80"/>
    </row>
    <row r="22" spans="1:22" s="65" customFormat="1" ht="12" x14ac:dyDescent="0.2">
      <c r="A22" s="213" t="s">
        <v>95</v>
      </c>
      <c r="B22" s="43">
        <f t="shared" ref="B22:T22" si="2">B21*$B$5</f>
        <v>116.96000000000001</v>
      </c>
      <c r="C22" s="43">
        <f t="shared" si="2"/>
        <v>146.19999999999999</v>
      </c>
      <c r="D22" s="43">
        <f t="shared" si="2"/>
        <v>146.19999999999999</v>
      </c>
      <c r="E22" s="43">
        <f t="shared" si="2"/>
        <v>146.19999999999999</v>
      </c>
      <c r="F22" s="43">
        <f t="shared" si="2"/>
        <v>146.19999999999999</v>
      </c>
      <c r="G22" s="43">
        <f t="shared" si="2"/>
        <v>160.82000000000002</v>
      </c>
      <c r="H22" s="43">
        <f t="shared" si="2"/>
        <v>175.43999999999997</v>
      </c>
      <c r="I22" s="43">
        <f t="shared" si="2"/>
        <v>190.06</v>
      </c>
      <c r="J22" s="43">
        <f t="shared" si="2"/>
        <v>204.67999999999998</v>
      </c>
      <c r="K22" s="43">
        <f t="shared" si="2"/>
        <v>204.67999999999998</v>
      </c>
      <c r="L22" s="43">
        <f t="shared" si="2"/>
        <v>204.67999999999998</v>
      </c>
      <c r="M22" s="43">
        <f t="shared" si="2"/>
        <v>116.96000000000001</v>
      </c>
      <c r="N22" s="43">
        <f t="shared" si="2"/>
        <v>233.92000000000002</v>
      </c>
      <c r="O22" s="43">
        <f t="shared" si="2"/>
        <v>233.92000000000002</v>
      </c>
      <c r="P22" s="43">
        <f t="shared" si="2"/>
        <v>233.92000000000002</v>
      </c>
      <c r="Q22" s="43">
        <f t="shared" si="2"/>
        <v>233.92000000000002</v>
      </c>
      <c r="R22" s="43">
        <f t="shared" si="2"/>
        <v>233.92000000000002</v>
      </c>
      <c r="S22" s="135">
        <f t="shared" si="2"/>
        <v>233.92000000000002</v>
      </c>
      <c r="T22" s="43">
        <f t="shared" si="2"/>
        <v>116.96000000000001</v>
      </c>
      <c r="U22" s="80"/>
    </row>
    <row r="23" spans="1:22" s="65" customFormat="1" ht="12" x14ac:dyDescent="0.2">
      <c r="A23" s="213" t="s">
        <v>96</v>
      </c>
      <c r="B23" s="42">
        <f>$B$9</f>
        <v>25.2</v>
      </c>
      <c r="C23" s="42">
        <f t="shared" ref="C23:T23" si="3">$B$9</f>
        <v>25.2</v>
      </c>
      <c r="D23" s="42">
        <f t="shared" si="3"/>
        <v>25.2</v>
      </c>
      <c r="E23" s="42">
        <f t="shared" si="3"/>
        <v>25.2</v>
      </c>
      <c r="F23" s="42">
        <f t="shared" si="3"/>
        <v>25.2</v>
      </c>
      <c r="G23" s="42">
        <f t="shared" si="3"/>
        <v>25.2</v>
      </c>
      <c r="H23" s="43">
        <f t="shared" si="3"/>
        <v>25.2</v>
      </c>
      <c r="I23" s="43">
        <f t="shared" si="3"/>
        <v>25.2</v>
      </c>
      <c r="J23" s="43">
        <f t="shared" si="3"/>
        <v>25.2</v>
      </c>
      <c r="K23" s="43">
        <f t="shared" si="3"/>
        <v>25.2</v>
      </c>
      <c r="L23" s="43">
        <f t="shared" si="3"/>
        <v>25.2</v>
      </c>
      <c r="M23" s="43">
        <f t="shared" si="3"/>
        <v>25.2</v>
      </c>
      <c r="N23" s="42">
        <f t="shared" si="3"/>
        <v>25.2</v>
      </c>
      <c r="O23" s="42">
        <f t="shared" si="3"/>
        <v>25.2</v>
      </c>
      <c r="P23" s="42">
        <f t="shared" si="3"/>
        <v>25.2</v>
      </c>
      <c r="Q23" s="42">
        <f t="shared" si="3"/>
        <v>25.2</v>
      </c>
      <c r="R23" s="42">
        <f t="shared" si="3"/>
        <v>25.2</v>
      </c>
      <c r="S23" s="136">
        <f t="shared" si="3"/>
        <v>25.2</v>
      </c>
      <c r="T23" s="42">
        <f t="shared" si="3"/>
        <v>25.2</v>
      </c>
      <c r="U23" s="80"/>
    </row>
    <row r="24" spans="1:22" s="65" customFormat="1" ht="12" x14ac:dyDescent="0.2">
      <c r="A24" s="213" t="s">
        <v>97</v>
      </c>
      <c r="B24" s="42">
        <f t="shared" ref="B24:T24" si="4">IF(ISBLANK(B138),0,$B$10)</f>
        <v>0</v>
      </c>
      <c r="C24" s="42">
        <f t="shared" si="4"/>
        <v>0</v>
      </c>
      <c r="D24" s="42">
        <f t="shared" si="4"/>
        <v>0</v>
      </c>
      <c r="E24" s="42">
        <f t="shared" si="4"/>
        <v>0</v>
      </c>
      <c r="F24" s="42">
        <f t="shared" si="4"/>
        <v>0</v>
      </c>
      <c r="G24" s="42">
        <f t="shared" si="4"/>
        <v>0</v>
      </c>
      <c r="H24" s="43">
        <f t="shared" si="4"/>
        <v>0</v>
      </c>
      <c r="I24" s="43">
        <f t="shared" si="4"/>
        <v>0</v>
      </c>
      <c r="J24" s="43">
        <f t="shared" si="4"/>
        <v>0</v>
      </c>
      <c r="K24" s="43">
        <f t="shared" si="4"/>
        <v>0</v>
      </c>
      <c r="L24" s="43">
        <f t="shared" si="4"/>
        <v>0</v>
      </c>
      <c r="M24" s="43">
        <f t="shared" si="4"/>
        <v>0</v>
      </c>
      <c r="N24" s="42">
        <f t="shared" si="4"/>
        <v>62.1</v>
      </c>
      <c r="O24" s="42">
        <f t="shared" si="4"/>
        <v>62.1</v>
      </c>
      <c r="P24" s="42">
        <f t="shared" si="4"/>
        <v>62.1</v>
      </c>
      <c r="Q24" s="42">
        <f t="shared" si="4"/>
        <v>0</v>
      </c>
      <c r="R24" s="42">
        <f t="shared" si="4"/>
        <v>0</v>
      </c>
      <c r="S24" s="136">
        <f t="shared" si="4"/>
        <v>0</v>
      </c>
      <c r="T24" s="42">
        <f t="shared" si="4"/>
        <v>0</v>
      </c>
      <c r="U24" s="80"/>
    </row>
    <row r="25" spans="1:22" s="65" customFormat="1" ht="12" x14ac:dyDescent="0.2">
      <c r="A25" s="213" t="s">
        <v>98</v>
      </c>
      <c r="B25" s="43">
        <f>B21*$B$5+SUM(B23:B24)</f>
        <v>142.16</v>
      </c>
      <c r="C25" s="43">
        <f t="shared" ref="C25:P25" si="5">C21*$B$5+SUM(C23:C24)</f>
        <v>171.39999999999998</v>
      </c>
      <c r="D25" s="43">
        <f t="shared" si="5"/>
        <v>171.39999999999998</v>
      </c>
      <c r="E25" s="43">
        <f t="shared" si="5"/>
        <v>171.39999999999998</v>
      </c>
      <c r="F25" s="43">
        <f t="shared" si="5"/>
        <v>171.39999999999998</v>
      </c>
      <c r="G25" s="43">
        <f t="shared" si="5"/>
        <v>186.02</v>
      </c>
      <c r="H25" s="43">
        <f t="shared" si="5"/>
        <v>200.63999999999996</v>
      </c>
      <c r="I25" s="43">
        <f t="shared" si="5"/>
        <v>215.26</v>
      </c>
      <c r="J25" s="43">
        <f t="shared" si="5"/>
        <v>229.87999999999997</v>
      </c>
      <c r="K25" s="43">
        <f t="shared" si="5"/>
        <v>229.87999999999997</v>
      </c>
      <c r="L25" s="43">
        <f t="shared" si="5"/>
        <v>229.87999999999997</v>
      </c>
      <c r="M25" s="43">
        <f t="shared" si="5"/>
        <v>142.16</v>
      </c>
      <c r="N25" s="43">
        <f t="shared" si="5"/>
        <v>321.22000000000003</v>
      </c>
      <c r="O25" s="43">
        <f t="shared" si="5"/>
        <v>321.22000000000003</v>
      </c>
      <c r="P25" s="43">
        <f t="shared" si="5"/>
        <v>321.22000000000003</v>
      </c>
      <c r="Q25" s="43">
        <f t="shared" ref="Q25:S25" si="6">Q21*$B$5+SUM(Q23:Q24)</f>
        <v>259.12</v>
      </c>
      <c r="R25" s="43">
        <f t="shared" si="6"/>
        <v>259.12</v>
      </c>
      <c r="S25" s="135">
        <f t="shared" si="6"/>
        <v>259.12</v>
      </c>
      <c r="T25" s="43">
        <f t="shared" ref="T25" si="7">T21*$B$5+SUM(T23:T24)</f>
        <v>142.16</v>
      </c>
      <c r="U25" s="80"/>
    </row>
    <row r="26" spans="1:22" s="65" customFormat="1" ht="12" x14ac:dyDescent="0.2">
      <c r="A26" s="219" t="s">
        <v>99</v>
      </c>
      <c r="B26" s="44">
        <f t="shared" ref="B26:T26" si="8">-IF(ISBLANK(B137),0,MIN(B$22*$H$10,B$22-$B$7*$H$9))</f>
        <v>3.9999999999992042E-2</v>
      </c>
      <c r="C26" s="44">
        <f t="shared" si="8"/>
        <v>-29.199999999999989</v>
      </c>
      <c r="D26" s="44">
        <f t="shared" si="8"/>
        <v>-29.199999999999989</v>
      </c>
      <c r="E26" s="44">
        <f t="shared" si="8"/>
        <v>-29.199999999999989</v>
      </c>
      <c r="F26" s="44">
        <f t="shared" si="8"/>
        <v>-29.199999999999989</v>
      </c>
      <c r="G26" s="44">
        <f t="shared" si="8"/>
        <v>-43.820000000000022</v>
      </c>
      <c r="H26" s="44">
        <f t="shared" si="8"/>
        <v>-58.439999999999969</v>
      </c>
      <c r="I26" s="44">
        <f t="shared" si="8"/>
        <v>-73.06</v>
      </c>
      <c r="J26" s="44">
        <f t="shared" si="8"/>
        <v>-87.679999999999978</v>
      </c>
      <c r="K26" s="44">
        <f t="shared" si="8"/>
        <v>-87.679999999999978</v>
      </c>
      <c r="L26" s="44">
        <f t="shared" si="8"/>
        <v>-87.679999999999978</v>
      </c>
      <c r="M26" s="44">
        <f t="shared" si="8"/>
        <v>3.9999999999992042E-2</v>
      </c>
      <c r="N26" s="44">
        <f t="shared" si="8"/>
        <v>0</v>
      </c>
      <c r="O26" s="44">
        <f t="shared" si="8"/>
        <v>0</v>
      </c>
      <c r="P26" s="44">
        <f t="shared" si="8"/>
        <v>0</v>
      </c>
      <c r="Q26" s="44">
        <f t="shared" si="8"/>
        <v>0</v>
      </c>
      <c r="R26" s="44">
        <f t="shared" si="8"/>
        <v>0</v>
      </c>
      <c r="S26" s="137">
        <f t="shared" si="8"/>
        <v>0</v>
      </c>
      <c r="T26" s="44">
        <f t="shared" si="8"/>
        <v>3.9999999999992042E-2</v>
      </c>
      <c r="U26" s="80"/>
    </row>
    <row r="27" spans="1:22" s="65" customFormat="1" ht="12" x14ac:dyDescent="0.2">
      <c r="A27" s="213" t="s">
        <v>100</v>
      </c>
      <c r="B27" s="44">
        <f t="shared" ref="B27:P27" si="9">SUM(B25:B26)</f>
        <v>142.19999999999999</v>
      </c>
      <c r="C27" s="44">
        <f t="shared" si="9"/>
        <v>142.19999999999999</v>
      </c>
      <c r="D27" s="44">
        <f t="shared" si="9"/>
        <v>142.19999999999999</v>
      </c>
      <c r="E27" s="44">
        <f t="shared" si="9"/>
        <v>142.19999999999999</v>
      </c>
      <c r="F27" s="44">
        <f t="shared" si="9"/>
        <v>142.19999999999999</v>
      </c>
      <c r="G27" s="44">
        <f t="shared" si="9"/>
        <v>142.19999999999999</v>
      </c>
      <c r="H27" s="44">
        <f t="shared" si="9"/>
        <v>142.19999999999999</v>
      </c>
      <c r="I27" s="44">
        <f t="shared" si="9"/>
        <v>142.19999999999999</v>
      </c>
      <c r="J27" s="44">
        <f t="shared" si="9"/>
        <v>142.19999999999999</v>
      </c>
      <c r="K27" s="44">
        <f t="shared" si="9"/>
        <v>142.19999999999999</v>
      </c>
      <c r="L27" s="44">
        <f t="shared" si="9"/>
        <v>142.19999999999999</v>
      </c>
      <c r="M27" s="44">
        <f t="shared" si="9"/>
        <v>142.19999999999999</v>
      </c>
      <c r="N27" s="44">
        <f t="shared" si="9"/>
        <v>321.22000000000003</v>
      </c>
      <c r="O27" s="44">
        <f t="shared" si="9"/>
        <v>321.22000000000003</v>
      </c>
      <c r="P27" s="44">
        <f t="shared" si="9"/>
        <v>321.22000000000003</v>
      </c>
      <c r="Q27" s="44">
        <f t="shared" ref="Q27:S27" si="10">SUM(Q25:Q26)</f>
        <v>259.12</v>
      </c>
      <c r="R27" s="44">
        <f t="shared" si="10"/>
        <v>259.12</v>
      </c>
      <c r="S27" s="137">
        <f t="shared" si="10"/>
        <v>259.12</v>
      </c>
      <c r="T27" s="44">
        <f t="shared" ref="T27" si="11">SUM(T25:T26)</f>
        <v>142.19999999999999</v>
      </c>
      <c r="U27" s="80"/>
    </row>
    <row r="28" spans="1:22" s="65" customFormat="1" ht="12" x14ac:dyDescent="0.2">
      <c r="A28" s="219" t="s">
        <v>101</v>
      </c>
      <c r="B28" s="185">
        <f>AVERAGE(B22,O22:P22)</f>
        <v>194.93333333333331</v>
      </c>
      <c r="C28" s="185">
        <f t="shared" ref="C28" si="12">AVERAGE(A22:C22)</f>
        <v>131.57999999999998</v>
      </c>
      <c r="D28" s="185">
        <f>AVERAGE(B22:D22)</f>
        <v>136.45333333333332</v>
      </c>
      <c r="E28" s="185">
        <f t="shared" ref="E28:P28" si="13">AVERAGE(C22:E22)</f>
        <v>146.19999999999999</v>
      </c>
      <c r="F28" s="185">
        <f t="shared" si="13"/>
        <v>146.19999999999999</v>
      </c>
      <c r="G28" s="185">
        <f t="shared" si="13"/>
        <v>151.07333333333335</v>
      </c>
      <c r="H28" s="185">
        <f t="shared" si="13"/>
        <v>160.81999999999996</v>
      </c>
      <c r="I28" s="185">
        <f t="shared" si="13"/>
        <v>175.43999999999997</v>
      </c>
      <c r="J28" s="185">
        <f t="shared" si="13"/>
        <v>190.05999999999997</v>
      </c>
      <c r="K28" s="185">
        <f>AVERAGE(I22:K22)</f>
        <v>199.80666666666664</v>
      </c>
      <c r="L28" s="185">
        <f>AVERAGE(J22:L22)</f>
        <v>204.67999999999998</v>
      </c>
      <c r="M28" s="185">
        <f t="shared" si="13"/>
        <v>175.43999999999997</v>
      </c>
      <c r="N28" s="185">
        <f t="shared" si="13"/>
        <v>185.18666666666664</v>
      </c>
      <c r="O28" s="185">
        <f t="shared" si="13"/>
        <v>194.93333333333331</v>
      </c>
      <c r="P28" s="185">
        <f t="shared" si="13"/>
        <v>233.92</v>
      </c>
      <c r="Q28" s="185">
        <f t="shared" ref="Q28" si="14">AVERAGE(O22:Q22)</f>
        <v>233.92</v>
      </c>
      <c r="R28" s="185">
        <f t="shared" ref="R28" si="15">AVERAGE(P22:R22)</f>
        <v>233.92</v>
      </c>
      <c r="S28" s="187">
        <f t="shared" ref="S28" si="16">AVERAGE(Q22:S22)</f>
        <v>233.92</v>
      </c>
      <c r="T28" s="185">
        <f>T27</f>
        <v>142.19999999999999</v>
      </c>
      <c r="U28" s="80"/>
    </row>
    <row r="29" spans="1:22" s="65" customFormat="1" ht="12" x14ac:dyDescent="0.2">
      <c r="A29" s="302" t="s">
        <v>102</v>
      </c>
      <c r="B29" s="307"/>
      <c r="C29" s="308"/>
      <c r="D29" s="308"/>
      <c r="E29" s="308"/>
      <c r="F29" s="308"/>
      <c r="G29" s="308"/>
      <c r="H29" s="308"/>
      <c r="I29" s="308"/>
      <c r="J29" s="308"/>
      <c r="K29" s="308"/>
      <c r="L29" s="308"/>
      <c r="M29" s="308"/>
      <c r="N29" s="308"/>
      <c r="O29" s="308"/>
      <c r="P29" s="308"/>
      <c r="Q29" s="443"/>
      <c r="R29" s="443"/>
      <c r="S29" s="443"/>
      <c r="T29" s="415"/>
      <c r="U29" s="80"/>
    </row>
    <row r="30" spans="1:22" s="65" customFormat="1" ht="12" x14ac:dyDescent="0.2">
      <c r="A30" s="219" t="s">
        <v>103</v>
      </c>
      <c r="B30" s="215">
        <f t="shared" ref="B30:T30" si="17">IF(ISBLANK(B137),0,$B$11)</f>
        <v>72</v>
      </c>
      <c r="C30" s="215">
        <f t="shared" si="17"/>
        <v>72</v>
      </c>
      <c r="D30" s="215">
        <f t="shared" si="17"/>
        <v>72</v>
      </c>
      <c r="E30" s="215">
        <f t="shared" si="17"/>
        <v>72</v>
      </c>
      <c r="F30" s="215">
        <f t="shared" si="17"/>
        <v>72</v>
      </c>
      <c r="G30" s="215">
        <f t="shared" si="17"/>
        <v>72</v>
      </c>
      <c r="H30" s="215">
        <f t="shared" si="17"/>
        <v>72</v>
      </c>
      <c r="I30" s="215">
        <f t="shared" si="17"/>
        <v>72</v>
      </c>
      <c r="J30" s="215">
        <f t="shared" si="17"/>
        <v>72</v>
      </c>
      <c r="K30" s="215">
        <f t="shared" si="17"/>
        <v>72</v>
      </c>
      <c r="L30" s="215">
        <f t="shared" si="17"/>
        <v>72</v>
      </c>
      <c r="M30" s="215">
        <f t="shared" si="17"/>
        <v>72</v>
      </c>
      <c r="N30" s="215">
        <f t="shared" si="17"/>
        <v>0</v>
      </c>
      <c r="O30" s="215">
        <f t="shared" si="17"/>
        <v>0</v>
      </c>
      <c r="P30" s="215">
        <f t="shared" si="17"/>
        <v>0</v>
      </c>
      <c r="Q30" s="215">
        <f t="shared" si="17"/>
        <v>0</v>
      </c>
      <c r="R30" s="215">
        <f t="shared" si="17"/>
        <v>0</v>
      </c>
      <c r="S30" s="216">
        <f t="shared" si="17"/>
        <v>0</v>
      </c>
      <c r="T30" s="215">
        <f t="shared" si="17"/>
        <v>72</v>
      </c>
      <c r="U30" s="80"/>
    </row>
    <row r="31" spans="1:22" s="65" customFormat="1" ht="12" x14ac:dyDescent="0.2">
      <c r="A31" s="86" t="s">
        <v>104</v>
      </c>
      <c r="B31" s="87"/>
      <c r="C31" s="88"/>
      <c r="D31" s="88"/>
      <c r="E31" s="88"/>
      <c r="F31" s="88"/>
      <c r="G31" s="88"/>
      <c r="H31" s="88"/>
      <c r="I31" s="88"/>
      <c r="J31" s="88"/>
      <c r="K31" s="88"/>
      <c r="L31" s="88"/>
      <c r="M31" s="88"/>
      <c r="N31" s="88"/>
      <c r="O31" s="88"/>
      <c r="P31" s="88"/>
      <c r="Q31" s="444"/>
      <c r="R31" s="444"/>
      <c r="S31" s="444"/>
      <c r="T31" s="416"/>
      <c r="U31" s="80"/>
    </row>
    <row r="32" spans="1:22" s="65" customFormat="1" ht="12" x14ac:dyDescent="0.2">
      <c r="A32" s="69" t="s">
        <v>105</v>
      </c>
      <c r="B32" s="314">
        <v>0.5</v>
      </c>
      <c r="C32" s="314">
        <v>0.625</v>
      </c>
      <c r="D32" s="67">
        <v>0.625</v>
      </c>
      <c r="E32" s="67">
        <v>0.625</v>
      </c>
      <c r="F32" s="67">
        <v>0.625</v>
      </c>
      <c r="G32" s="67">
        <v>0.6875</v>
      </c>
      <c r="H32" s="67">
        <v>0.74999999999999989</v>
      </c>
      <c r="I32" s="67">
        <v>0.8125</v>
      </c>
      <c r="J32" s="67">
        <v>0.87499999999999989</v>
      </c>
      <c r="K32" s="67">
        <v>0.87499999999999989</v>
      </c>
      <c r="L32" s="67">
        <v>0.9</v>
      </c>
      <c r="M32" s="67">
        <v>0.9</v>
      </c>
      <c r="N32" s="67">
        <v>1</v>
      </c>
      <c r="O32" s="67">
        <v>1</v>
      </c>
      <c r="P32" s="67">
        <v>1</v>
      </c>
      <c r="Q32" s="67">
        <v>1</v>
      </c>
      <c r="R32" s="67">
        <v>1</v>
      </c>
      <c r="S32" s="188">
        <v>1</v>
      </c>
      <c r="T32" s="67">
        <v>0.6</v>
      </c>
      <c r="U32" s="82"/>
      <c r="V32" s="97"/>
    </row>
    <row r="33" spans="1:23" s="65" customFormat="1" ht="12" x14ac:dyDescent="0.2">
      <c r="A33" s="69" t="s">
        <v>106</v>
      </c>
      <c r="B33" s="68">
        <v>0.3</v>
      </c>
      <c r="C33" s="68">
        <v>0.26</v>
      </c>
      <c r="D33" s="68">
        <v>0.26</v>
      </c>
      <c r="E33" s="68">
        <v>0.25</v>
      </c>
      <c r="F33" s="68">
        <v>0.27</v>
      </c>
      <c r="G33" s="68">
        <v>0.35</v>
      </c>
      <c r="H33" s="68">
        <v>0.35</v>
      </c>
      <c r="I33" s="67">
        <v>0.37</v>
      </c>
      <c r="J33" s="68">
        <v>0.37</v>
      </c>
      <c r="K33" s="68">
        <v>0.38</v>
      </c>
      <c r="L33" s="68">
        <v>0.37</v>
      </c>
      <c r="M33" s="68">
        <v>0.22</v>
      </c>
      <c r="N33" s="68">
        <v>0.42</v>
      </c>
      <c r="O33" s="68">
        <v>0.42</v>
      </c>
      <c r="P33" s="68">
        <v>0.42</v>
      </c>
      <c r="Q33" s="68">
        <v>0.42</v>
      </c>
      <c r="R33" s="68">
        <v>0.42</v>
      </c>
      <c r="S33" s="189">
        <v>0.42</v>
      </c>
      <c r="T33" s="68">
        <v>0.375</v>
      </c>
      <c r="U33" s="82"/>
      <c r="V33" s="97"/>
    </row>
    <row r="34" spans="1:23" s="65" customFormat="1" ht="12" x14ac:dyDescent="0.2">
      <c r="A34" s="69" t="s">
        <v>107</v>
      </c>
      <c r="B34" s="68">
        <f>((B36*$B$159)/$B$2)</f>
        <v>0.2158174064834478</v>
      </c>
      <c r="C34" s="68">
        <f t="shared" ref="C34:T34" si="18">((C36*$B$159)/$B$2)</f>
        <v>0.18704175228565476</v>
      </c>
      <c r="D34" s="68">
        <f t="shared" si="18"/>
        <v>0.18704175228565476</v>
      </c>
      <c r="E34" s="68">
        <f t="shared" si="18"/>
        <v>0.17984783873620649</v>
      </c>
      <c r="F34" s="68">
        <f t="shared" si="18"/>
        <v>0.19423566583510302</v>
      </c>
      <c r="G34" s="68">
        <f t="shared" si="18"/>
        <v>0.25178697423068913</v>
      </c>
      <c r="H34" s="68">
        <f t="shared" si="18"/>
        <v>0.25178697423068913</v>
      </c>
      <c r="I34" s="68">
        <f t="shared" si="18"/>
        <v>0.26617480132958565</v>
      </c>
      <c r="J34" s="68">
        <f t="shared" si="18"/>
        <v>0.26617480132958565</v>
      </c>
      <c r="K34" s="68">
        <f t="shared" si="18"/>
        <v>0.27336871487903386</v>
      </c>
      <c r="L34" s="68">
        <f t="shared" si="18"/>
        <v>0.26617480132958565</v>
      </c>
      <c r="M34" s="68">
        <f t="shared" si="18"/>
        <v>0.15826609808786171</v>
      </c>
      <c r="N34" s="68">
        <f t="shared" si="18"/>
        <v>0.3021443690768269</v>
      </c>
      <c r="O34" s="68">
        <f t="shared" si="18"/>
        <v>0.3021443690768269</v>
      </c>
      <c r="P34" s="68">
        <f t="shared" si="18"/>
        <v>0.3021443690768269</v>
      </c>
      <c r="Q34" s="68">
        <f t="shared" si="18"/>
        <v>0.3021443690768269</v>
      </c>
      <c r="R34" s="68">
        <f t="shared" si="18"/>
        <v>0.3021443690768269</v>
      </c>
      <c r="S34" s="68">
        <f t="shared" si="18"/>
        <v>0.3021443690768269</v>
      </c>
      <c r="T34" s="68">
        <f t="shared" si="18"/>
        <v>0.26977175810430976</v>
      </c>
      <c r="U34" s="82"/>
      <c r="V34" s="97"/>
    </row>
    <row r="35" spans="1:23" s="65" customFormat="1" ht="12" x14ac:dyDescent="0.2">
      <c r="A35" s="83" t="s">
        <v>108</v>
      </c>
      <c r="B35" s="104">
        <f t="shared" ref="B35:T35" si="19">ROUND($B$2*B32,2)</f>
        <v>3</v>
      </c>
      <c r="C35" s="104">
        <f t="shared" si="19"/>
        <v>3.75</v>
      </c>
      <c r="D35" s="104">
        <f t="shared" si="19"/>
        <v>3.75</v>
      </c>
      <c r="E35" s="104">
        <f t="shared" si="19"/>
        <v>3.75</v>
      </c>
      <c r="F35" s="104">
        <f t="shared" si="19"/>
        <v>3.75</v>
      </c>
      <c r="G35" s="104">
        <f t="shared" si="19"/>
        <v>4.13</v>
      </c>
      <c r="H35" s="104">
        <f t="shared" si="19"/>
        <v>4.5</v>
      </c>
      <c r="I35" s="104">
        <f t="shared" si="19"/>
        <v>4.88</v>
      </c>
      <c r="J35" s="104">
        <f t="shared" si="19"/>
        <v>5.25</v>
      </c>
      <c r="K35" s="104">
        <f t="shared" si="19"/>
        <v>5.25</v>
      </c>
      <c r="L35" s="104">
        <f t="shared" si="19"/>
        <v>5.4</v>
      </c>
      <c r="M35" s="104">
        <f t="shared" si="19"/>
        <v>5.4</v>
      </c>
      <c r="N35" s="104">
        <f t="shared" si="19"/>
        <v>6</v>
      </c>
      <c r="O35" s="104">
        <f t="shared" si="19"/>
        <v>6</v>
      </c>
      <c r="P35" s="104">
        <f t="shared" si="19"/>
        <v>6</v>
      </c>
      <c r="Q35" s="104">
        <f t="shared" si="19"/>
        <v>6</v>
      </c>
      <c r="R35" s="104">
        <f t="shared" si="19"/>
        <v>6</v>
      </c>
      <c r="S35" s="105">
        <f t="shared" si="19"/>
        <v>6</v>
      </c>
      <c r="T35" s="104">
        <f t="shared" si="19"/>
        <v>3.6</v>
      </c>
      <c r="U35" s="106"/>
      <c r="V35" s="97"/>
    </row>
    <row r="36" spans="1:23" s="65" customFormat="1" ht="12" x14ac:dyDescent="0.2">
      <c r="A36" s="83" t="s">
        <v>109</v>
      </c>
      <c r="B36" s="104">
        <f t="shared" ref="B36:T36" si="20">ROUND(B33*$B$2,2)</f>
        <v>1.8</v>
      </c>
      <c r="C36" s="104">
        <f t="shared" si="20"/>
        <v>1.56</v>
      </c>
      <c r="D36" s="104">
        <f t="shared" si="20"/>
        <v>1.56</v>
      </c>
      <c r="E36" s="104">
        <f t="shared" si="20"/>
        <v>1.5</v>
      </c>
      <c r="F36" s="104">
        <f t="shared" si="20"/>
        <v>1.62</v>
      </c>
      <c r="G36" s="104">
        <f t="shared" si="20"/>
        <v>2.1</v>
      </c>
      <c r="H36" s="104">
        <f t="shared" si="20"/>
        <v>2.1</v>
      </c>
      <c r="I36" s="104">
        <f t="shared" si="20"/>
        <v>2.2200000000000002</v>
      </c>
      <c r="J36" s="104">
        <f t="shared" si="20"/>
        <v>2.2200000000000002</v>
      </c>
      <c r="K36" s="104">
        <f t="shared" si="20"/>
        <v>2.2799999999999998</v>
      </c>
      <c r="L36" s="104">
        <f t="shared" si="20"/>
        <v>2.2200000000000002</v>
      </c>
      <c r="M36" s="104">
        <f t="shared" si="20"/>
        <v>1.32</v>
      </c>
      <c r="N36" s="104">
        <f t="shared" si="20"/>
        <v>2.52</v>
      </c>
      <c r="O36" s="104">
        <f t="shared" si="20"/>
        <v>2.52</v>
      </c>
      <c r="P36" s="104">
        <f t="shared" si="20"/>
        <v>2.52</v>
      </c>
      <c r="Q36" s="104">
        <f t="shared" si="20"/>
        <v>2.52</v>
      </c>
      <c r="R36" s="104">
        <f t="shared" si="20"/>
        <v>2.52</v>
      </c>
      <c r="S36" s="105">
        <f t="shared" si="20"/>
        <v>2.52</v>
      </c>
      <c r="T36" s="104">
        <f t="shared" si="20"/>
        <v>2.25</v>
      </c>
      <c r="U36" s="106"/>
      <c r="V36" s="97"/>
    </row>
    <row r="37" spans="1:23" s="65" customFormat="1" ht="12" x14ac:dyDescent="0.2">
      <c r="A37" s="565" t="s">
        <v>110</v>
      </c>
      <c r="B37" s="587">
        <f>B34*$B$2</f>
        <v>1.2949044389006867</v>
      </c>
      <c r="C37" s="587">
        <f t="shared" ref="C37:T37" si="21">C34*$B$2</f>
        <v>1.1222505137139285</v>
      </c>
      <c r="D37" s="587">
        <f t="shared" si="21"/>
        <v>1.1222505137139285</v>
      </c>
      <c r="E37" s="587">
        <f t="shared" si="21"/>
        <v>1.079087032417239</v>
      </c>
      <c r="F37" s="587">
        <f t="shared" si="21"/>
        <v>1.1654139950106182</v>
      </c>
      <c r="G37" s="587">
        <f t="shared" si="21"/>
        <v>1.5107218453841349</v>
      </c>
      <c r="H37" s="587">
        <f t="shared" si="21"/>
        <v>1.5107218453841349</v>
      </c>
      <c r="I37" s="587">
        <f t="shared" si="21"/>
        <v>1.5970488079775138</v>
      </c>
      <c r="J37" s="587">
        <f t="shared" si="21"/>
        <v>1.5970488079775138</v>
      </c>
      <c r="K37" s="587">
        <f t="shared" si="21"/>
        <v>1.6402122892742033</v>
      </c>
      <c r="L37" s="587">
        <f t="shared" si="21"/>
        <v>1.5970488079775138</v>
      </c>
      <c r="M37" s="587">
        <f t="shared" si="21"/>
        <v>0.94959658852717022</v>
      </c>
      <c r="N37" s="587">
        <f t="shared" si="21"/>
        <v>1.8128662144609615</v>
      </c>
      <c r="O37" s="587">
        <f t="shared" si="21"/>
        <v>1.8128662144609615</v>
      </c>
      <c r="P37" s="587">
        <f t="shared" si="21"/>
        <v>1.8128662144609615</v>
      </c>
      <c r="Q37" s="587">
        <f t="shared" si="21"/>
        <v>1.8128662144609615</v>
      </c>
      <c r="R37" s="587">
        <f t="shared" si="21"/>
        <v>1.8128662144609615</v>
      </c>
      <c r="S37" s="587">
        <f t="shared" si="21"/>
        <v>1.8128662144609615</v>
      </c>
      <c r="T37" s="587">
        <f t="shared" si="21"/>
        <v>1.6186305486258585</v>
      </c>
      <c r="U37" s="106"/>
      <c r="V37" s="97"/>
    </row>
    <row r="38" spans="1:23" s="64" customFormat="1" ht="12" x14ac:dyDescent="0.2">
      <c r="A38" s="86" t="s">
        <v>192</v>
      </c>
      <c r="B38" s="84"/>
      <c r="C38" s="108"/>
      <c r="D38" s="108"/>
      <c r="E38" s="108"/>
      <c r="F38" s="108"/>
      <c r="G38" s="108"/>
      <c r="H38" s="108"/>
      <c r="I38" s="108"/>
      <c r="J38" s="108"/>
      <c r="K38" s="108"/>
      <c r="L38" s="108"/>
      <c r="M38" s="108"/>
      <c r="N38" s="108"/>
      <c r="O38" s="108"/>
      <c r="P38" s="108"/>
      <c r="Q38" s="108"/>
      <c r="R38" s="108"/>
      <c r="S38" s="108"/>
      <c r="T38" s="417"/>
      <c r="U38" s="107"/>
      <c r="V38" s="97"/>
      <c r="W38" s="89"/>
    </row>
    <row r="39" spans="1:23" s="65" customFormat="1" ht="12" x14ac:dyDescent="0.2">
      <c r="A39" s="83" t="s">
        <v>193</v>
      </c>
      <c r="B39" s="588">
        <f>B$36*$B160</f>
        <v>0</v>
      </c>
      <c r="C39" s="588">
        <f t="shared" ref="C39:T49" si="22">C$36*$B160</f>
        <v>0</v>
      </c>
      <c r="D39" s="588">
        <f t="shared" si="22"/>
        <v>0</v>
      </c>
      <c r="E39" s="588">
        <f t="shared" si="22"/>
        <v>0</v>
      </c>
      <c r="F39" s="588">
        <f t="shared" si="22"/>
        <v>0</v>
      </c>
      <c r="G39" s="588">
        <f t="shared" si="22"/>
        <v>0</v>
      </c>
      <c r="H39" s="588">
        <f t="shared" si="22"/>
        <v>0</v>
      </c>
      <c r="I39" s="588">
        <f t="shared" si="22"/>
        <v>0</v>
      </c>
      <c r="J39" s="588">
        <f t="shared" si="22"/>
        <v>0</v>
      </c>
      <c r="K39" s="588">
        <f t="shared" si="22"/>
        <v>0</v>
      </c>
      <c r="L39" s="588">
        <f t="shared" si="22"/>
        <v>0</v>
      </c>
      <c r="M39" s="588">
        <f t="shared" si="22"/>
        <v>0</v>
      </c>
      <c r="N39" s="588">
        <f t="shared" si="22"/>
        <v>0</v>
      </c>
      <c r="O39" s="588">
        <f t="shared" si="22"/>
        <v>0</v>
      </c>
      <c r="P39" s="588">
        <f t="shared" si="22"/>
        <v>0</v>
      </c>
      <c r="Q39" s="588">
        <f t="shared" si="22"/>
        <v>0</v>
      </c>
      <c r="R39" s="588">
        <f t="shared" si="22"/>
        <v>0</v>
      </c>
      <c r="S39" s="588">
        <f t="shared" si="22"/>
        <v>0</v>
      </c>
      <c r="T39" s="588">
        <f t="shared" si="22"/>
        <v>0</v>
      </c>
      <c r="U39" s="97"/>
      <c r="V39" s="97"/>
    </row>
    <row r="40" spans="1:23" s="65" customFormat="1" ht="12" x14ac:dyDescent="0.2">
      <c r="A40" s="83" t="s">
        <v>194</v>
      </c>
      <c r="B40" s="588">
        <f t="shared" ref="B40:Q49" si="23">B$36*$B161</f>
        <v>9.118198874296439E-2</v>
      </c>
      <c r="C40" s="588">
        <f t="shared" si="23"/>
        <v>7.9024390243902468E-2</v>
      </c>
      <c r="D40" s="588">
        <f t="shared" si="23"/>
        <v>7.9024390243902468E-2</v>
      </c>
      <c r="E40" s="588">
        <f t="shared" si="23"/>
        <v>7.5984990619136994E-2</v>
      </c>
      <c r="F40" s="588">
        <f t="shared" si="23"/>
        <v>8.2063789868667955E-2</v>
      </c>
      <c r="G40" s="588">
        <f t="shared" si="23"/>
        <v>0.10637898686679179</v>
      </c>
      <c r="H40" s="588">
        <f t="shared" si="23"/>
        <v>0.10637898686679179</v>
      </c>
      <c r="I40" s="588">
        <f t="shared" si="23"/>
        <v>0.11245778611632276</v>
      </c>
      <c r="J40" s="588">
        <f t="shared" si="23"/>
        <v>0.11245778611632276</v>
      </c>
      <c r="K40" s="588">
        <f t="shared" si="23"/>
        <v>0.11549718574108822</v>
      </c>
      <c r="L40" s="588">
        <f t="shared" si="23"/>
        <v>0.11245778611632276</v>
      </c>
      <c r="M40" s="588">
        <f t="shared" si="23"/>
        <v>6.6866791744840559E-2</v>
      </c>
      <c r="N40" s="588">
        <f t="shared" si="23"/>
        <v>0.12765478424015014</v>
      </c>
      <c r="O40" s="588">
        <f t="shared" si="23"/>
        <v>0.12765478424015014</v>
      </c>
      <c r="P40" s="588">
        <f t="shared" si="23"/>
        <v>0.12765478424015014</v>
      </c>
      <c r="Q40" s="588">
        <f t="shared" si="23"/>
        <v>0.12765478424015014</v>
      </c>
      <c r="R40" s="588">
        <f t="shared" si="22"/>
        <v>0.12765478424015014</v>
      </c>
      <c r="S40" s="588">
        <f t="shared" si="22"/>
        <v>0.12765478424015014</v>
      </c>
      <c r="T40" s="588">
        <f t="shared" si="22"/>
        <v>0.11397748592870549</v>
      </c>
      <c r="U40" s="97"/>
      <c r="V40" s="97"/>
    </row>
    <row r="41" spans="1:23" s="64" customFormat="1" ht="12" x14ac:dyDescent="0.2">
      <c r="A41" s="83" t="s">
        <v>195</v>
      </c>
      <c r="B41" s="588">
        <f t="shared" si="23"/>
        <v>0.86044265303177148</v>
      </c>
      <c r="C41" s="588">
        <f t="shared" si="22"/>
        <v>0.74571696596086867</v>
      </c>
      <c r="D41" s="588">
        <f t="shared" si="22"/>
        <v>0.74571696596086867</v>
      </c>
      <c r="E41" s="588">
        <f t="shared" si="22"/>
        <v>0.71703554419314286</v>
      </c>
      <c r="F41" s="588">
        <f t="shared" si="22"/>
        <v>0.77439838772859437</v>
      </c>
      <c r="G41" s="588">
        <f t="shared" si="22"/>
        <v>1.0038497618704001</v>
      </c>
      <c r="H41" s="588">
        <f t="shared" si="22"/>
        <v>1.0038497618704001</v>
      </c>
      <c r="I41" s="588">
        <f t="shared" si="22"/>
        <v>1.0612126054058517</v>
      </c>
      <c r="J41" s="588">
        <f t="shared" si="22"/>
        <v>1.0612126054058517</v>
      </c>
      <c r="K41" s="588">
        <f t="shared" si="22"/>
        <v>1.0898940271735771</v>
      </c>
      <c r="L41" s="588">
        <f t="shared" si="22"/>
        <v>1.0612126054058517</v>
      </c>
      <c r="M41" s="588">
        <f t="shared" si="22"/>
        <v>0.63099127888996576</v>
      </c>
      <c r="N41" s="588">
        <f t="shared" si="22"/>
        <v>1.2046197142444801</v>
      </c>
      <c r="O41" s="588">
        <f t="shared" si="22"/>
        <v>1.2046197142444801</v>
      </c>
      <c r="P41" s="588">
        <f t="shared" si="22"/>
        <v>1.2046197142444801</v>
      </c>
      <c r="Q41" s="588">
        <f t="shared" si="22"/>
        <v>1.2046197142444801</v>
      </c>
      <c r="R41" s="588">
        <f t="shared" si="22"/>
        <v>1.2046197142444801</v>
      </c>
      <c r="S41" s="588">
        <f t="shared" si="22"/>
        <v>1.2046197142444801</v>
      </c>
      <c r="T41" s="588">
        <f t="shared" si="22"/>
        <v>1.0755533162897144</v>
      </c>
      <c r="U41" s="107"/>
      <c r="V41" s="97"/>
      <c r="W41" s="89"/>
    </row>
    <row r="42" spans="1:23" s="64" customFormat="1" ht="12" x14ac:dyDescent="0.2">
      <c r="A42" s="83" t="s">
        <v>196</v>
      </c>
      <c r="B42" s="588">
        <f t="shared" si="23"/>
        <v>0.23688328556996485</v>
      </c>
      <c r="C42" s="588">
        <f t="shared" si="22"/>
        <v>0.20529884749396954</v>
      </c>
      <c r="D42" s="588">
        <f t="shared" si="22"/>
        <v>0.20529884749396954</v>
      </c>
      <c r="E42" s="588">
        <f t="shared" si="22"/>
        <v>0.19740273797497071</v>
      </c>
      <c r="F42" s="588">
        <f t="shared" si="22"/>
        <v>0.21319495701296837</v>
      </c>
      <c r="G42" s="588">
        <f t="shared" si="22"/>
        <v>0.27636383316495899</v>
      </c>
      <c r="H42" s="588">
        <f t="shared" si="22"/>
        <v>0.27636383316495899</v>
      </c>
      <c r="I42" s="588">
        <f t="shared" si="22"/>
        <v>0.29215605220295665</v>
      </c>
      <c r="J42" s="588">
        <f t="shared" si="22"/>
        <v>0.29215605220295665</v>
      </c>
      <c r="K42" s="588">
        <f t="shared" si="22"/>
        <v>0.30005216172195542</v>
      </c>
      <c r="L42" s="588">
        <f t="shared" si="22"/>
        <v>0.29215605220295665</v>
      </c>
      <c r="M42" s="588">
        <f t="shared" si="22"/>
        <v>0.17371440941797422</v>
      </c>
      <c r="N42" s="588">
        <f t="shared" si="22"/>
        <v>0.33163659979795079</v>
      </c>
      <c r="O42" s="588">
        <f t="shared" si="22"/>
        <v>0.33163659979795079</v>
      </c>
      <c r="P42" s="588">
        <f t="shared" si="22"/>
        <v>0.33163659979795079</v>
      </c>
      <c r="Q42" s="588">
        <f t="shared" si="22"/>
        <v>0.33163659979795079</v>
      </c>
      <c r="R42" s="588">
        <f t="shared" si="22"/>
        <v>0.33163659979795079</v>
      </c>
      <c r="S42" s="588">
        <f t="shared" si="22"/>
        <v>0.33163659979795079</v>
      </c>
      <c r="T42" s="588">
        <f t="shared" si="22"/>
        <v>0.29610410696245604</v>
      </c>
      <c r="U42" s="107"/>
      <c r="V42" s="97"/>
      <c r="W42" s="89"/>
    </row>
    <row r="43" spans="1:23" s="64" customFormat="1" ht="12" x14ac:dyDescent="0.2">
      <c r="A43" s="83" t="s">
        <v>197</v>
      </c>
      <c r="B43" s="588">
        <f t="shared" si="23"/>
        <v>0.46654227573552171</v>
      </c>
      <c r="C43" s="588">
        <f t="shared" si="22"/>
        <v>0.40433663897078548</v>
      </c>
      <c r="D43" s="588">
        <f t="shared" si="22"/>
        <v>0.40433663897078548</v>
      </c>
      <c r="E43" s="588">
        <f t="shared" si="22"/>
        <v>0.38878522977960139</v>
      </c>
      <c r="F43" s="588">
        <f t="shared" si="22"/>
        <v>0.41988804816196951</v>
      </c>
      <c r="G43" s="588">
        <f t="shared" si="22"/>
        <v>0.54429932169144202</v>
      </c>
      <c r="H43" s="588">
        <f t="shared" si="22"/>
        <v>0.54429932169144202</v>
      </c>
      <c r="I43" s="588">
        <f t="shared" si="22"/>
        <v>0.57540214007381008</v>
      </c>
      <c r="J43" s="588">
        <f t="shared" si="22"/>
        <v>0.57540214007381008</v>
      </c>
      <c r="K43" s="588">
        <f t="shared" si="22"/>
        <v>0.5909535492649941</v>
      </c>
      <c r="L43" s="588">
        <f t="shared" si="22"/>
        <v>0.57540214007381008</v>
      </c>
      <c r="M43" s="588">
        <f t="shared" si="22"/>
        <v>0.34213100220604925</v>
      </c>
      <c r="N43" s="588">
        <f t="shared" si="22"/>
        <v>0.65315918602973033</v>
      </c>
      <c r="O43" s="588">
        <f t="shared" si="22"/>
        <v>0.65315918602973033</v>
      </c>
      <c r="P43" s="588">
        <f t="shared" si="22"/>
        <v>0.65315918602973033</v>
      </c>
      <c r="Q43" s="588">
        <f t="shared" si="22"/>
        <v>0.65315918602973033</v>
      </c>
      <c r="R43" s="588">
        <f t="shared" si="22"/>
        <v>0.65315918602973033</v>
      </c>
      <c r="S43" s="588">
        <f t="shared" si="22"/>
        <v>0.65315918602973033</v>
      </c>
      <c r="T43" s="588">
        <f t="shared" si="22"/>
        <v>0.58317784466940203</v>
      </c>
      <c r="U43" s="107"/>
      <c r="V43" s="97"/>
      <c r="W43" s="89"/>
    </row>
    <row r="44" spans="1:23" s="64" customFormat="1" ht="12" x14ac:dyDescent="0.2">
      <c r="A44" s="83" t="s">
        <v>198</v>
      </c>
      <c r="B44" s="588">
        <f t="shared" si="23"/>
        <v>0.86044265303177148</v>
      </c>
      <c r="C44" s="588">
        <f t="shared" si="22"/>
        <v>0.74571696596086867</v>
      </c>
      <c r="D44" s="588">
        <f t="shared" si="22"/>
        <v>0.74571696596086867</v>
      </c>
      <c r="E44" s="588">
        <f t="shared" si="22"/>
        <v>0.71703554419314286</v>
      </c>
      <c r="F44" s="588">
        <f t="shared" si="22"/>
        <v>0.77439838772859437</v>
      </c>
      <c r="G44" s="588">
        <f t="shared" si="22"/>
        <v>1.0038497618704001</v>
      </c>
      <c r="H44" s="588">
        <f t="shared" si="22"/>
        <v>1.0038497618704001</v>
      </c>
      <c r="I44" s="588">
        <f t="shared" si="22"/>
        <v>1.0612126054058517</v>
      </c>
      <c r="J44" s="588">
        <f t="shared" si="22"/>
        <v>1.0612126054058517</v>
      </c>
      <c r="K44" s="588">
        <f t="shared" si="22"/>
        <v>1.0898940271735771</v>
      </c>
      <c r="L44" s="588">
        <f t="shared" si="22"/>
        <v>1.0612126054058517</v>
      </c>
      <c r="M44" s="588">
        <f t="shared" si="22"/>
        <v>0.63099127888996576</v>
      </c>
      <c r="N44" s="588">
        <f t="shared" si="22"/>
        <v>1.2046197142444801</v>
      </c>
      <c r="O44" s="588">
        <f t="shared" si="22"/>
        <v>1.2046197142444801</v>
      </c>
      <c r="P44" s="588">
        <f t="shared" si="22"/>
        <v>1.2046197142444801</v>
      </c>
      <c r="Q44" s="588">
        <f t="shared" si="22"/>
        <v>1.2046197142444801</v>
      </c>
      <c r="R44" s="588">
        <f t="shared" si="22"/>
        <v>1.2046197142444801</v>
      </c>
      <c r="S44" s="588">
        <f t="shared" si="22"/>
        <v>1.2046197142444801</v>
      </c>
      <c r="T44" s="588">
        <f t="shared" si="22"/>
        <v>1.0755533162897144</v>
      </c>
      <c r="U44" s="107"/>
      <c r="V44" s="97"/>
      <c r="W44" s="89"/>
    </row>
    <row r="45" spans="1:23" s="64" customFormat="1" ht="12" x14ac:dyDescent="0.2">
      <c r="A45" s="83" t="s">
        <v>199</v>
      </c>
      <c r="B45" s="588">
        <f t="shared" si="23"/>
        <v>0.10097932086675054</v>
      </c>
      <c r="C45" s="588">
        <f t="shared" si="22"/>
        <v>8.7515411417850478E-2</v>
      </c>
      <c r="D45" s="588">
        <f t="shared" si="22"/>
        <v>8.7515411417850478E-2</v>
      </c>
      <c r="E45" s="588">
        <f t="shared" si="22"/>
        <v>8.4149434055625458E-2</v>
      </c>
      <c r="F45" s="588">
        <f t="shared" si="22"/>
        <v>9.0881388780075498E-2</v>
      </c>
      <c r="G45" s="588">
        <f t="shared" si="22"/>
        <v>0.11780920767787564</v>
      </c>
      <c r="H45" s="588">
        <f t="shared" si="22"/>
        <v>0.11780920767787564</v>
      </c>
      <c r="I45" s="588">
        <f t="shared" si="22"/>
        <v>0.12454116240232568</v>
      </c>
      <c r="J45" s="588">
        <f t="shared" si="22"/>
        <v>0.12454116240232568</v>
      </c>
      <c r="K45" s="588">
        <f t="shared" si="22"/>
        <v>0.12790713976455068</v>
      </c>
      <c r="L45" s="588">
        <f t="shared" si="22"/>
        <v>0.12454116240232568</v>
      </c>
      <c r="M45" s="588">
        <f t="shared" si="22"/>
        <v>7.4051501968950398E-2</v>
      </c>
      <c r="N45" s="588">
        <f t="shared" si="22"/>
        <v>0.14137104921345076</v>
      </c>
      <c r="O45" s="588">
        <f t="shared" si="22"/>
        <v>0.14137104921345076</v>
      </c>
      <c r="P45" s="588">
        <f t="shared" si="22"/>
        <v>0.14137104921345076</v>
      </c>
      <c r="Q45" s="588">
        <f t="shared" si="22"/>
        <v>0.14137104921345076</v>
      </c>
      <c r="R45" s="588">
        <f t="shared" si="22"/>
        <v>0.14137104921345076</v>
      </c>
      <c r="S45" s="588">
        <f t="shared" si="22"/>
        <v>0.14137104921345076</v>
      </c>
      <c r="T45" s="588">
        <f t="shared" si="22"/>
        <v>0.12622415108343818</v>
      </c>
      <c r="U45" s="107"/>
      <c r="V45" s="97"/>
      <c r="W45" s="89"/>
    </row>
    <row r="46" spans="1:23" s="64" customFormat="1" ht="12" x14ac:dyDescent="0.2">
      <c r="A46" s="83" t="s">
        <v>200</v>
      </c>
      <c r="B46" s="588">
        <f t="shared" si="23"/>
        <v>0.87554687338927517</v>
      </c>
      <c r="C46" s="588">
        <f t="shared" si="22"/>
        <v>0.75880729027070515</v>
      </c>
      <c r="D46" s="588">
        <f t="shared" si="22"/>
        <v>0.75880729027070515</v>
      </c>
      <c r="E46" s="588">
        <f t="shared" si="22"/>
        <v>0.7296223944910627</v>
      </c>
      <c r="F46" s="588">
        <f t="shared" si="22"/>
        <v>0.78799218605034771</v>
      </c>
      <c r="G46" s="588">
        <f t="shared" si="22"/>
        <v>1.0214713522874876</v>
      </c>
      <c r="H46" s="588">
        <f t="shared" si="22"/>
        <v>1.0214713522874876</v>
      </c>
      <c r="I46" s="588">
        <f t="shared" si="22"/>
        <v>1.0798411438467728</v>
      </c>
      <c r="J46" s="588">
        <f t="shared" si="22"/>
        <v>1.0798411438467728</v>
      </c>
      <c r="K46" s="588">
        <f t="shared" si="22"/>
        <v>1.1090260396264151</v>
      </c>
      <c r="L46" s="588">
        <f t="shared" si="22"/>
        <v>1.0798411438467728</v>
      </c>
      <c r="M46" s="588">
        <f t="shared" si="22"/>
        <v>0.64206770715213513</v>
      </c>
      <c r="N46" s="588">
        <f t="shared" si="22"/>
        <v>1.2257656227449854</v>
      </c>
      <c r="O46" s="588">
        <f t="shared" si="22"/>
        <v>1.2257656227449854</v>
      </c>
      <c r="P46" s="588">
        <f t="shared" si="22"/>
        <v>1.2257656227449854</v>
      </c>
      <c r="Q46" s="588">
        <f t="shared" si="22"/>
        <v>1.2257656227449854</v>
      </c>
      <c r="R46" s="588">
        <f t="shared" si="22"/>
        <v>1.2257656227449854</v>
      </c>
      <c r="S46" s="588">
        <f t="shared" si="22"/>
        <v>1.2257656227449854</v>
      </c>
      <c r="T46" s="588">
        <f t="shared" si="22"/>
        <v>1.0944335917365939</v>
      </c>
      <c r="U46" s="107"/>
      <c r="V46" s="97"/>
      <c r="W46" s="89"/>
    </row>
    <row r="47" spans="1:23" s="64" customFormat="1" ht="12" x14ac:dyDescent="0.2">
      <c r="A47" s="83" t="s">
        <v>201</v>
      </c>
      <c r="B47" s="588">
        <f t="shared" si="23"/>
        <v>1.2091664433127851</v>
      </c>
      <c r="C47" s="588">
        <f t="shared" si="22"/>
        <v>1.0479442508710806</v>
      </c>
      <c r="D47" s="588">
        <f t="shared" si="22"/>
        <v>1.0479442508710806</v>
      </c>
      <c r="E47" s="588">
        <f t="shared" si="22"/>
        <v>1.0076387027606541</v>
      </c>
      <c r="F47" s="588">
        <f t="shared" si="22"/>
        <v>1.0882497989815068</v>
      </c>
      <c r="G47" s="588">
        <f t="shared" si="22"/>
        <v>1.4106941838649161</v>
      </c>
      <c r="H47" s="588">
        <f t="shared" si="22"/>
        <v>1.4106941838649161</v>
      </c>
      <c r="I47" s="588">
        <f t="shared" si="22"/>
        <v>1.4913052800857685</v>
      </c>
      <c r="J47" s="588">
        <f t="shared" si="22"/>
        <v>1.4913052800857685</v>
      </c>
      <c r="K47" s="588">
        <f t="shared" si="22"/>
        <v>1.5316108281961944</v>
      </c>
      <c r="L47" s="588">
        <f t="shared" si="22"/>
        <v>1.4913052800857685</v>
      </c>
      <c r="M47" s="588">
        <f t="shared" si="22"/>
        <v>0.88672205842937579</v>
      </c>
      <c r="N47" s="588">
        <f t="shared" si="22"/>
        <v>1.6928330206378992</v>
      </c>
      <c r="O47" s="588">
        <f t="shared" si="22"/>
        <v>1.6928330206378992</v>
      </c>
      <c r="P47" s="588">
        <f t="shared" si="22"/>
        <v>1.6928330206378992</v>
      </c>
      <c r="Q47" s="588">
        <f t="shared" si="22"/>
        <v>1.6928330206378992</v>
      </c>
      <c r="R47" s="588">
        <f t="shared" si="22"/>
        <v>1.6928330206378992</v>
      </c>
      <c r="S47" s="588">
        <f t="shared" si="22"/>
        <v>1.6928330206378992</v>
      </c>
      <c r="T47" s="588">
        <f t="shared" si="22"/>
        <v>1.5114580541409814</v>
      </c>
      <c r="U47" s="107"/>
      <c r="V47" s="97"/>
      <c r="W47" s="89"/>
    </row>
    <row r="48" spans="1:23" s="64" customFormat="1" ht="12" x14ac:dyDescent="0.2">
      <c r="A48" s="83" t="s">
        <v>202</v>
      </c>
      <c r="B48" s="588">
        <f>IF(B$13="Deploy",B$36,B$36*$B169)</f>
        <v>1.2091664433127851</v>
      </c>
      <c r="C48" s="588">
        <f t="shared" ref="C48:T48" si="24">IF(C$13="Deploy",C$36,C$36*$B169)</f>
        <v>1.0479442508710806</v>
      </c>
      <c r="D48" s="588">
        <f t="shared" si="24"/>
        <v>1.0479442508710806</v>
      </c>
      <c r="E48" s="588">
        <f t="shared" si="24"/>
        <v>1.0076387027606541</v>
      </c>
      <c r="F48" s="588">
        <f t="shared" si="24"/>
        <v>1.0882497989815068</v>
      </c>
      <c r="G48" s="588">
        <f t="shared" si="24"/>
        <v>1.4106941838649161</v>
      </c>
      <c r="H48" s="588">
        <f t="shared" si="24"/>
        <v>1.4106941838649161</v>
      </c>
      <c r="I48" s="588">
        <f t="shared" si="24"/>
        <v>1.4913052800857685</v>
      </c>
      <c r="J48" s="588">
        <f t="shared" si="24"/>
        <v>1.4913052800857685</v>
      </c>
      <c r="K48" s="588">
        <f t="shared" si="24"/>
        <v>1.5316108281961944</v>
      </c>
      <c r="L48" s="588">
        <f t="shared" si="24"/>
        <v>1.4913052800857685</v>
      </c>
      <c r="M48" s="588">
        <f t="shared" si="24"/>
        <v>0.88672205842937579</v>
      </c>
      <c r="N48" s="588">
        <f t="shared" si="24"/>
        <v>2.52</v>
      </c>
      <c r="O48" s="588">
        <f t="shared" si="24"/>
        <v>2.52</v>
      </c>
      <c r="P48" s="588">
        <f t="shared" si="24"/>
        <v>2.52</v>
      </c>
      <c r="Q48" s="588">
        <f t="shared" si="24"/>
        <v>2.52</v>
      </c>
      <c r="R48" s="588">
        <f t="shared" si="24"/>
        <v>2.52</v>
      </c>
      <c r="S48" s="588">
        <f t="shared" si="24"/>
        <v>2.52</v>
      </c>
      <c r="T48" s="588">
        <f t="shared" si="24"/>
        <v>1.5114580541409814</v>
      </c>
      <c r="U48" s="107"/>
      <c r="V48" s="97"/>
      <c r="W48" s="89"/>
    </row>
    <row r="49" spans="1:23" s="64" customFormat="1" ht="12.75" x14ac:dyDescent="0.2">
      <c r="A49" s="476" t="s">
        <v>203</v>
      </c>
      <c r="B49" s="588">
        <f t="shared" si="23"/>
        <v>1.8</v>
      </c>
      <c r="C49" s="588">
        <f t="shared" si="22"/>
        <v>1.56</v>
      </c>
      <c r="D49" s="588">
        <f t="shared" si="22"/>
        <v>1.56</v>
      </c>
      <c r="E49" s="588">
        <f t="shared" si="22"/>
        <v>1.5</v>
      </c>
      <c r="F49" s="588">
        <f t="shared" si="22"/>
        <v>1.62</v>
      </c>
      <c r="G49" s="588">
        <f t="shared" si="22"/>
        <v>2.1</v>
      </c>
      <c r="H49" s="588">
        <f t="shared" si="22"/>
        <v>2.1</v>
      </c>
      <c r="I49" s="588">
        <f t="shared" si="22"/>
        <v>2.2200000000000002</v>
      </c>
      <c r="J49" s="588">
        <f t="shared" si="22"/>
        <v>2.2200000000000002</v>
      </c>
      <c r="K49" s="588">
        <f t="shared" si="22"/>
        <v>2.2799999999999998</v>
      </c>
      <c r="L49" s="588">
        <f t="shared" si="22"/>
        <v>2.2200000000000002</v>
      </c>
      <c r="M49" s="588">
        <f t="shared" si="22"/>
        <v>1.32</v>
      </c>
      <c r="N49" s="588">
        <f t="shared" si="22"/>
        <v>2.52</v>
      </c>
      <c r="O49" s="588">
        <f t="shared" si="22"/>
        <v>2.52</v>
      </c>
      <c r="P49" s="588">
        <f t="shared" si="22"/>
        <v>2.52</v>
      </c>
      <c r="Q49" s="588">
        <f t="shared" si="22"/>
        <v>2.52</v>
      </c>
      <c r="R49" s="588">
        <f t="shared" si="22"/>
        <v>2.52</v>
      </c>
      <c r="S49" s="588">
        <f t="shared" si="22"/>
        <v>2.52</v>
      </c>
      <c r="T49" s="588">
        <f t="shared" si="22"/>
        <v>2.25</v>
      </c>
      <c r="U49" s="107"/>
      <c r="V49" s="97"/>
      <c r="W49" s="89"/>
    </row>
    <row r="50" spans="1:23" s="64" customFormat="1" ht="12" x14ac:dyDescent="0.2">
      <c r="A50" s="70" t="s">
        <v>122</v>
      </c>
      <c r="B50" s="110"/>
      <c r="C50" s="110"/>
      <c r="D50" s="110"/>
      <c r="E50" s="110"/>
      <c r="F50" s="110"/>
      <c r="G50" s="110"/>
      <c r="H50" s="110"/>
      <c r="I50" s="110"/>
      <c r="J50" s="110"/>
      <c r="K50" s="110"/>
      <c r="L50" s="110"/>
      <c r="M50" s="110"/>
      <c r="N50" s="110"/>
      <c r="O50" s="110"/>
      <c r="P50" s="110"/>
      <c r="Q50" s="110"/>
      <c r="R50" s="110"/>
      <c r="S50" s="110"/>
      <c r="T50" s="109"/>
      <c r="U50" s="107"/>
      <c r="V50" s="97"/>
      <c r="W50" s="89"/>
    </row>
    <row r="51" spans="1:23" s="64" customFormat="1" ht="12" x14ac:dyDescent="0.2">
      <c r="A51" s="91" t="s">
        <v>123</v>
      </c>
      <c r="B51" s="111">
        <f t="shared" ref="B51:T51" si="25">$B$103</f>
        <v>27</v>
      </c>
      <c r="C51" s="111">
        <f t="shared" si="25"/>
        <v>27</v>
      </c>
      <c r="D51" s="111">
        <f t="shared" si="25"/>
        <v>27</v>
      </c>
      <c r="E51" s="111">
        <f t="shared" si="25"/>
        <v>27</v>
      </c>
      <c r="F51" s="111">
        <f t="shared" si="25"/>
        <v>27</v>
      </c>
      <c r="G51" s="111">
        <f t="shared" si="25"/>
        <v>27</v>
      </c>
      <c r="H51" s="111">
        <f t="shared" si="25"/>
        <v>27</v>
      </c>
      <c r="I51" s="111">
        <f t="shared" si="25"/>
        <v>27</v>
      </c>
      <c r="J51" s="111">
        <f t="shared" si="25"/>
        <v>27</v>
      </c>
      <c r="K51" s="111">
        <f t="shared" si="25"/>
        <v>27</v>
      </c>
      <c r="L51" s="111">
        <f t="shared" si="25"/>
        <v>27</v>
      </c>
      <c r="M51" s="111">
        <f t="shared" si="25"/>
        <v>27</v>
      </c>
      <c r="N51" s="111">
        <f t="shared" si="25"/>
        <v>27</v>
      </c>
      <c r="O51" s="111">
        <f t="shared" si="25"/>
        <v>27</v>
      </c>
      <c r="P51" s="111">
        <f t="shared" si="25"/>
        <v>27</v>
      </c>
      <c r="Q51" s="111">
        <f t="shared" si="25"/>
        <v>27</v>
      </c>
      <c r="R51" s="111">
        <f t="shared" si="25"/>
        <v>27</v>
      </c>
      <c r="S51" s="190">
        <f t="shared" si="25"/>
        <v>27</v>
      </c>
      <c r="T51" s="111">
        <f t="shared" si="25"/>
        <v>27</v>
      </c>
      <c r="U51" s="107"/>
      <c r="V51" s="97"/>
    </row>
    <row r="52" spans="1:23" s="64" customFormat="1" ht="12" x14ac:dyDescent="0.2">
      <c r="A52" s="91" t="s">
        <v>124</v>
      </c>
      <c r="B52" s="111">
        <f t="shared" ref="B52:T52" si="26">$B$104</f>
        <v>22</v>
      </c>
      <c r="C52" s="111">
        <f t="shared" si="26"/>
        <v>22</v>
      </c>
      <c r="D52" s="111">
        <f t="shared" si="26"/>
        <v>22</v>
      </c>
      <c r="E52" s="111">
        <f t="shared" si="26"/>
        <v>22</v>
      </c>
      <c r="F52" s="111">
        <f t="shared" si="26"/>
        <v>22</v>
      </c>
      <c r="G52" s="111">
        <f t="shared" si="26"/>
        <v>22</v>
      </c>
      <c r="H52" s="111">
        <f t="shared" si="26"/>
        <v>22</v>
      </c>
      <c r="I52" s="111">
        <f t="shared" si="26"/>
        <v>22</v>
      </c>
      <c r="J52" s="111">
        <f t="shared" si="26"/>
        <v>22</v>
      </c>
      <c r="K52" s="111">
        <f t="shared" si="26"/>
        <v>22</v>
      </c>
      <c r="L52" s="111">
        <f t="shared" si="26"/>
        <v>22</v>
      </c>
      <c r="M52" s="111">
        <f t="shared" si="26"/>
        <v>22</v>
      </c>
      <c r="N52" s="111">
        <f t="shared" si="26"/>
        <v>22</v>
      </c>
      <c r="O52" s="111">
        <f t="shared" si="26"/>
        <v>22</v>
      </c>
      <c r="P52" s="111">
        <f t="shared" si="26"/>
        <v>22</v>
      </c>
      <c r="Q52" s="111">
        <f t="shared" si="26"/>
        <v>22</v>
      </c>
      <c r="R52" s="111">
        <f t="shared" si="26"/>
        <v>22</v>
      </c>
      <c r="S52" s="190">
        <f t="shared" si="26"/>
        <v>22</v>
      </c>
      <c r="T52" s="111">
        <f t="shared" si="26"/>
        <v>22</v>
      </c>
      <c r="U52" s="107"/>
      <c r="V52" s="97"/>
    </row>
    <row r="53" spans="1:23" s="64" customFormat="1" ht="12" x14ac:dyDescent="0.2">
      <c r="A53" s="116" t="s">
        <v>204</v>
      </c>
      <c r="B53" s="115">
        <f t="shared" ref="B53:T53" si="27">ROUNDUP(IF(B$13="Deploy",MAX((B$97/100)*$B105,$B105),(B$97/100)*$B105),0)</f>
        <v>2</v>
      </c>
      <c r="C53" s="115">
        <f t="shared" si="27"/>
        <v>2</v>
      </c>
      <c r="D53" s="115">
        <f t="shared" si="27"/>
        <v>1</v>
      </c>
      <c r="E53" s="115">
        <f t="shared" si="27"/>
        <v>1</v>
      </c>
      <c r="F53" s="115">
        <f t="shared" si="27"/>
        <v>1</v>
      </c>
      <c r="G53" s="115">
        <f t="shared" si="27"/>
        <v>1</v>
      </c>
      <c r="H53" s="115">
        <f t="shared" si="27"/>
        <v>2</v>
      </c>
      <c r="I53" s="452">
        <f t="shared" si="27"/>
        <v>2</v>
      </c>
      <c r="J53" s="115">
        <f t="shared" si="27"/>
        <v>2</v>
      </c>
      <c r="K53" s="115">
        <f t="shared" si="27"/>
        <v>2</v>
      </c>
      <c r="L53" s="115">
        <f t="shared" si="27"/>
        <v>2</v>
      </c>
      <c r="M53" s="115">
        <f t="shared" si="27"/>
        <v>2</v>
      </c>
      <c r="N53" s="115">
        <f t="shared" si="27"/>
        <v>2</v>
      </c>
      <c r="O53" s="115">
        <f t="shared" si="27"/>
        <v>2</v>
      </c>
      <c r="P53" s="115">
        <f t="shared" si="27"/>
        <v>2</v>
      </c>
      <c r="Q53" s="115">
        <f t="shared" si="27"/>
        <v>2</v>
      </c>
      <c r="R53" s="115">
        <f t="shared" si="27"/>
        <v>2</v>
      </c>
      <c r="S53" s="191">
        <f t="shared" si="27"/>
        <v>2</v>
      </c>
      <c r="T53" s="115">
        <f t="shared" si="27"/>
        <v>1</v>
      </c>
      <c r="U53" s="107"/>
      <c r="V53" s="97"/>
    </row>
    <row r="54" spans="1:23" s="64" customFormat="1" ht="12" x14ac:dyDescent="0.2">
      <c r="A54" s="116" t="s">
        <v>205</v>
      </c>
      <c r="B54" s="118">
        <f t="shared" ref="B54:T54" si="28">ROUND(IF(B$97&gt;=80,$B$104*$G$105,IF(AND(B$97&lt;80,B$97&gt;=60),$B$104*$H$105,$B$104*$I$105)),0)</f>
        <v>9</v>
      </c>
      <c r="C54" s="118">
        <f t="shared" si="28"/>
        <v>6</v>
      </c>
      <c r="D54" s="118">
        <f t="shared" si="28"/>
        <v>6</v>
      </c>
      <c r="E54" s="118">
        <f t="shared" si="28"/>
        <v>6</v>
      </c>
      <c r="F54" s="118">
        <f t="shared" si="28"/>
        <v>6</v>
      </c>
      <c r="G54" s="118">
        <f t="shared" si="28"/>
        <v>6</v>
      </c>
      <c r="H54" s="118">
        <f t="shared" si="28"/>
        <v>6</v>
      </c>
      <c r="I54" s="450">
        <f t="shared" si="28"/>
        <v>7</v>
      </c>
      <c r="J54" s="118">
        <f t="shared" si="28"/>
        <v>7</v>
      </c>
      <c r="K54" s="118">
        <f t="shared" ref="K54:S54" si="29">ROUND(IF(K$97&gt;=80,$B$104*$G$105,IF(AND(K$97&lt;80,K$97&gt;=60),$B$104*$H$105,$B$104*$I$105)),0)</f>
        <v>9</v>
      </c>
      <c r="L54" s="118">
        <f t="shared" si="29"/>
        <v>9</v>
      </c>
      <c r="M54" s="118">
        <f t="shared" si="29"/>
        <v>9</v>
      </c>
      <c r="N54" s="118">
        <f t="shared" si="29"/>
        <v>9</v>
      </c>
      <c r="O54" s="118">
        <f t="shared" si="29"/>
        <v>9</v>
      </c>
      <c r="P54" s="118">
        <f t="shared" si="29"/>
        <v>9</v>
      </c>
      <c r="Q54" s="118">
        <f t="shared" si="29"/>
        <v>9</v>
      </c>
      <c r="R54" s="118">
        <f t="shared" si="29"/>
        <v>9</v>
      </c>
      <c r="S54" s="192">
        <f t="shared" si="29"/>
        <v>9</v>
      </c>
      <c r="T54" s="118">
        <f t="shared" si="28"/>
        <v>6</v>
      </c>
      <c r="U54" s="107"/>
      <c r="V54" s="97"/>
    </row>
    <row r="55" spans="1:23" s="64" customFormat="1" ht="12" x14ac:dyDescent="0.2">
      <c r="A55" s="116" t="s">
        <v>206</v>
      </c>
      <c r="B55" s="118">
        <f t="shared" ref="B55:T55" si="30">ROUND(IF(B$97&gt;=80,$B$104*$G$106,IF(AND(B$97&lt;80,B$97&gt;=60),$B$104*$H$106,$B$104*$I$106)),0)</f>
        <v>18</v>
      </c>
      <c r="C55" s="118">
        <f t="shared" si="30"/>
        <v>12</v>
      </c>
      <c r="D55" s="118">
        <f t="shared" si="30"/>
        <v>12</v>
      </c>
      <c r="E55" s="118">
        <f t="shared" si="30"/>
        <v>12</v>
      </c>
      <c r="F55" s="118">
        <f t="shared" si="30"/>
        <v>12</v>
      </c>
      <c r="G55" s="118">
        <f t="shared" si="30"/>
        <v>12</v>
      </c>
      <c r="H55" s="118">
        <f t="shared" si="30"/>
        <v>12</v>
      </c>
      <c r="I55" s="450">
        <f t="shared" si="30"/>
        <v>15</v>
      </c>
      <c r="J55" s="118">
        <f t="shared" si="30"/>
        <v>15</v>
      </c>
      <c r="K55" s="118">
        <f t="shared" ref="K55:S55" si="31">ROUND(IF(K$97&gt;=80,$B$104*$G$106,IF(AND(K$97&lt;80,K$97&gt;=60),$B$104*$H$106,$B$104*$I$106)),0)</f>
        <v>18</v>
      </c>
      <c r="L55" s="118">
        <f t="shared" si="31"/>
        <v>18</v>
      </c>
      <c r="M55" s="118">
        <f t="shared" si="31"/>
        <v>18</v>
      </c>
      <c r="N55" s="118">
        <f t="shared" si="31"/>
        <v>18</v>
      </c>
      <c r="O55" s="118">
        <f t="shared" si="31"/>
        <v>18</v>
      </c>
      <c r="P55" s="118">
        <f t="shared" si="31"/>
        <v>18</v>
      </c>
      <c r="Q55" s="118">
        <f t="shared" si="31"/>
        <v>18</v>
      </c>
      <c r="R55" s="118">
        <f t="shared" si="31"/>
        <v>18</v>
      </c>
      <c r="S55" s="192">
        <f t="shared" si="31"/>
        <v>18</v>
      </c>
      <c r="T55" s="118">
        <f t="shared" si="30"/>
        <v>12</v>
      </c>
      <c r="U55" s="107"/>
      <c r="V55" s="97"/>
    </row>
    <row r="56" spans="1:23" s="64" customFormat="1" ht="12" x14ac:dyDescent="0.2">
      <c r="A56" s="91" t="s">
        <v>129</v>
      </c>
      <c r="B56" s="92">
        <f>$B$108</f>
        <v>18</v>
      </c>
      <c r="C56" s="92">
        <f t="shared" ref="C56:T56" si="32">$B$108</f>
        <v>18</v>
      </c>
      <c r="D56" s="92">
        <f t="shared" si="32"/>
        <v>18</v>
      </c>
      <c r="E56" s="92">
        <f t="shared" si="32"/>
        <v>18</v>
      </c>
      <c r="F56" s="92">
        <f t="shared" si="32"/>
        <v>18</v>
      </c>
      <c r="G56" s="92">
        <f t="shared" si="32"/>
        <v>18</v>
      </c>
      <c r="H56" s="92">
        <f t="shared" si="32"/>
        <v>18</v>
      </c>
      <c r="I56" s="92">
        <f t="shared" si="32"/>
        <v>18</v>
      </c>
      <c r="J56" s="92">
        <f t="shared" si="32"/>
        <v>18</v>
      </c>
      <c r="K56" s="92">
        <f t="shared" si="32"/>
        <v>18</v>
      </c>
      <c r="L56" s="92">
        <f t="shared" si="32"/>
        <v>18</v>
      </c>
      <c r="M56" s="92">
        <f t="shared" si="32"/>
        <v>18</v>
      </c>
      <c r="N56" s="92">
        <f t="shared" si="32"/>
        <v>18</v>
      </c>
      <c r="O56" s="92">
        <f t="shared" si="32"/>
        <v>18</v>
      </c>
      <c r="P56" s="92">
        <f t="shared" si="32"/>
        <v>18</v>
      </c>
      <c r="Q56" s="92">
        <f t="shared" si="32"/>
        <v>18</v>
      </c>
      <c r="R56" s="92">
        <f t="shared" si="32"/>
        <v>18</v>
      </c>
      <c r="S56" s="193">
        <f t="shared" si="32"/>
        <v>18</v>
      </c>
      <c r="T56" s="92">
        <f t="shared" si="32"/>
        <v>18</v>
      </c>
      <c r="U56" s="107"/>
      <c r="V56" s="97"/>
      <c r="W56" s="89"/>
    </row>
    <row r="57" spans="1:23" s="64" customFormat="1" ht="12" x14ac:dyDescent="0.2">
      <c r="A57" s="91" t="s">
        <v>130</v>
      </c>
      <c r="B57" s="450">
        <f>ROUND(IF(B$97&gt;=80,$B$109,IF(AND(B$97&lt;80,B$97&gt;=60),$B$109*0.9167,$B$109*0.8333)),0)</f>
        <v>16</v>
      </c>
      <c r="C57" s="450">
        <f t="shared" ref="C57:P57" si="33">ROUND(IF(C94&gt;=80,$B$109,IF(AND(C94&lt;80,C94&gt;=60),$B$109*0.9167,$B$109*0.8333)),0)</f>
        <v>13</v>
      </c>
      <c r="D57" s="450">
        <f t="shared" si="33"/>
        <v>13</v>
      </c>
      <c r="E57" s="450">
        <f t="shared" si="33"/>
        <v>13</v>
      </c>
      <c r="F57" s="450">
        <f t="shared" si="33"/>
        <v>13</v>
      </c>
      <c r="G57" s="450">
        <f t="shared" si="33"/>
        <v>13</v>
      </c>
      <c r="H57" s="450">
        <f t="shared" si="33"/>
        <v>13</v>
      </c>
      <c r="I57" s="450">
        <f t="shared" si="33"/>
        <v>15</v>
      </c>
      <c r="J57" s="450">
        <f t="shared" si="33"/>
        <v>15</v>
      </c>
      <c r="K57" s="450">
        <f t="shared" si="33"/>
        <v>16</v>
      </c>
      <c r="L57" s="450">
        <f t="shared" si="33"/>
        <v>16</v>
      </c>
      <c r="M57" s="450">
        <f t="shared" si="33"/>
        <v>16</v>
      </c>
      <c r="N57" s="450">
        <f t="shared" si="33"/>
        <v>16</v>
      </c>
      <c r="O57" s="450">
        <f t="shared" si="33"/>
        <v>16</v>
      </c>
      <c r="P57" s="450">
        <f t="shared" si="33"/>
        <v>16</v>
      </c>
      <c r="Q57" s="450">
        <f t="shared" ref="Q57:S57" si="34">ROUND(IF(Q94&gt;=80,$B$109,IF(AND(Q94&lt;80,Q94&gt;=60),$B$109*0.9167,$B$109*0.8333)),0)</f>
        <v>16</v>
      </c>
      <c r="R57" s="450">
        <f t="shared" si="34"/>
        <v>16</v>
      </c>
      <c r="S57" s="451">
        <f t="shared" si="34"/>
        <v>16</v>
      </c>
      <c r="T57" s="450">
        <f>ROUND(IF(T94&gt;=80,$B$109,IF(AND(T94&lt;80,T94&gt;=60),$B$109*0.9167,$B$109*0.8333)),0)</f>
        <v>13</v>
      </c>
      <c r="U57" s="107"/>
      <c r="V57" s="97"/>
      <c r="W57" s="89"/>
    </row>
    <row r="58" spans="1:23" s="64" customFormat="1" ht="12" x14ac:dyDescent="0.2">
      <c r="A58" s="116" t="s">
        <v>207</v>
      </c>
      <c r="B58" s="115">
        <f t="shared" ref="B58:T58" si="35">ROUNDUP(IF(B$13="Deploy",MAX((B$97/100)*$B110,$B110),(B$97/100)*$B110),0)</f>
        <v>2</v>
      </c>
      <c r="C58" s="115">
        <f t="shared" si="35"/>
        <v>2</v>
      </c>
      <c r="D58" s="115">
        <f t="shared" si="35"/>
        <v>1</v>
      </c>
      <c r="E58" s="115">
        <f t="shared" si="35"/>
        <v>1</v>
      </c>
      <c r="F58" s="115">
        <f t="shared" si="35"/>
        <v>1</v>
      </c>
      <c r="G58" s="115">
        <f t="shared" si="35"/>
        <v>1</v>
      </c>
      <c r="H58" s="115">
        <f t="shared" si="35"/>
        <v>2</v>
      </c>
      <c r="I58" s="452">
        <f t="shared" si="35"/>
        <v>2</v>
      </c>
      <c r="J58" s="115">
        <f t="shared" si="35"/>
        <v>2</v>
      </c>
      <c r="K58" s="115">
        <f t="shared" si="35"/>
        <v>2</v>
      </c>
      <c r="L58" s="115">
        <f t="shared" si="35"/>
        <v>2</v>
      </c>
      <c r="M58" s="115">
        <f t="shared" si="35"/>
        <v>2</v>
      </c>
      <c r="N58" s="115">
        <f t="shared" si="35"/>
        <v>2</v>
      </c>
      <c r="O58" s="115">
        <f t="shared" si="35"/>
        <v>2</v>
      </c>
      <c r="P58" s="115">
        <f t="shared" si="35"/>
        <v>2</v>
      </c>
      <c r="Q58" s="115">
        <f t="shared" si="35"/>
        <v>2</v>
      </c>
      <c r="R58" s="115">
        <f t="shared" si="35"/>
        <v>2</v>
      </c>
      <c r="S58" s="191">
        <f t="shared" si="35"/>
        <v>2</v>
      </c>
      <c r="T58" s="115">
        <f t="shared" si="35"/>
        <v>1</v>
      </c>
      <c r="U58" s="107"/>
      <c r="V58" s="97"/>
      <c r="W58" s="89"/>
    </row>
    <row r="59" spans="1:23" s="64" customFormat="1" ht="12" x14ac:dyDescent="0.2">
      <c r="A59" s="116" t="s">
        <v>208</v>
      </c>
      <c r="B59" s="118">
        <f t="shared" ref="B59:T59" si="36">ROUND(IF(B$97&gt;=80,$B$109*$G$107,IF(AND(B$97&lt;80,B$97&gt;=60),$B$109*$H$107,$B$109*$I$107)),0)</f>
        <v>8</v>
      </c>
      <c r="C59" s="118">
        <f t="shared" si="36"/>
        <v>6</v>
      </c>
      <c r="D59" s="118">
        <f t="shared" si="36"/>
        <v>6</v>
      </c>
      <c r="E59" s="118">
        <f t="shared" si="36"/>
        <v>6</v>
      </c>
      <c r="F59" s="118">
        <f t="shared" si="36"/>
        <v>6</v>
      </c>
      <c r="G59" s="118">
        <f t="shared" si="36"/>
        <v>6</v>
      </c>
      <c r="H59" s="118">
        <f t="shared" si="36"/>
        <v>6</v>
      </c>
      <c r="I59" s="450">
        <f t="shared" si="36"/>
        <v>7</v>
      </c>
      <c r="J59" s="118">
        <f t="shared" si="36"/>
        <v>7</v>
      </c>
      <c r="K59" s="118">
        <f t="shared" ref="K59:S59" si="37">ROUND(IF(K$97&gt;=80,$B$109*$G$107,IF(AND(K$97&lt;80,K$97&gt;=60),$B$109*$H$107,$B$109*$I$107)),0)</f>
        <v>8</v>
      </c>
      <c r="L59" s="118">
        <f t="shared" si="37"/>
        <v>8</v>
      </c>
      <c r="M59" s="118">
        <f t="shared" si="37"/>
        <v>8</v>
      </c>
      <c r="N59" s="118">
        <f t="shared" si="37"/>
        <v>8</v>
      </c>
      <c r="O59" s="118">
        <f t="shared" si="37"/>
        <v>8</v>
      </c>
      <c r="P59" s="118">
        <f t="shared" si="37"/>
        <v>8</v>
      </c>
      <c r="Q59" s="118">
        <f t="shared" si="37"/>
        <v>8</v>
      </c>
      <c r="R59" s="118">
        <f t="shared" si="37"/>
        <v>8</v>
      </c>
      <c r="S59" s="192">
        <f t="shared" si="37"/>
        <v>8</v>
      </c>
      <c r="T59" s="118">
        <f t="shared" si="36"/>
        <v>6</v>
      </c>
      <c r="U59" s="107"/>
      <c r="V59" s="97"/>
      <c r="W59" s="89"/>
    </row>
    <row r="60" spans="1:23" s="64" customFormat="1" ht="12" x14ac:dyDescent="0.2">
      <c r="A60" s="116" t="s">
        <v>209</v>
      </c>
      <c r="B60" s="118">
        <f t="shared" ref="B60:T60" si="38">ROUND(IF(B$97&gt;=80,$B$109*$G$108,IF(AND(B$97&lt;80,B$97&gt;=60),$B$109*$H$108,$B$109*$I$108)),0)</f>
        <v>16</v>
      </c>
      <c r="C60" s="118">
        <f t="shared" si="38"/>
        <v>11</v>
      </c>
      <c r="D60" s="118">
        <f t="shared" si="38"/>
        <v>11</v>
      </c>
      <c r="E60" s="118">
        <f t="shared" si="38"/>
        <v>11</v>
      </c>
      <c r="F60" s="118">
        <f t="shared" si="38"/>
        <v>11</v>
      </c>
      <c r="G60" s="118">
        <f t="shared" si="38"/>
        <v>11</v>
      </c>
      <c r="H60" s="118">
        <f t="shared" si="38"/>
        <v>11</v>
      </c>
      <c r="I60" s="450">
        <f t="shared" si="38"/>
        <v>13</v>
      </c>
      <c r="J60" s="118">
        <f t="shared" si="38"/>
        <v>13</v>
      </c>
      <c r="K60" s="118">
        <f t="shared" ref="K60:S60" si="39">ROUND(IF(K$97&gt;=80,$B$109*$G$108,IF(AND(K$97&lt;80,K$97&gt;=60),$B$109*$H$108,$B$109*$I$108)),0)</f>
        <v>16</v>
      </c>
      <c r="L60" s="118">
        <f t="shared" si="39"/>
        <v>16</v>
      </c>
      <c r="M60" s="118">
        <f t="shared" si="39"/>
        <v>16</v>
      </c>
      <c r="N60" s="118">
        <f t="shared" si="39"/>
        <v>16</v>
      </c>
      <c r="O60" s="118">
        <f t="shared" si="39"/>
        <v>16</v>
      </c>
      <c r="P60" s="118">
        <f t="shared" si="39"/>
        <v>16</v>
      </c>
      <c r="Q60" s="118">
        <f t="shared" si="39"/>
        <v>16</v>
      </c>
      <c r="R60" s="118">
        <f t="shared" si="39"/>
        <v>16</v>
      </c>
      <c r="S60" s="192">
        <f t="shared" si="39"/>
        <v>16</v>
      </c>
      <c r="T60" s="118">
        <f t="shared" si="38"/>
        <v>11</v>
      </c>
      <c r="U60" s="107"/>
      <c r="V60" s="97"/>
      <c r="W60" s="89"/>
    </row>
    <row r="61" spans="1:23" s="64" customFormat="1" ht="12" x14ac:dyDescent="0.2">
      <c r="A61" s="91" t="s">
        <v>210</v>
      </c>
      <c r="B61" s="92">
        <f>$B$113</f>
        <v>18</v>
      </c>
      <c r="C61" s="92">
        <f t="shared" ref="C61:T61" si="40">$B$113</f>
        <v>18</v>
      </c>
      <c r="D61" s="92">
        <f t="shared" si="40"/>
        <v>18</v>
      </c>
      <c r="E61" s="92">
        <f t="shared" si="40"/>
        <v>18</v>
      </c>
      <c r="F61" s="92">
        <f t="shared" si="40"/>
        <v>18</v>
      </c>
      <c r="G61" s="92">
        <f t="shared" si="40"/>
        <v>18</v>
      </c>
      <c r="H61" s="92">
        <f t="shared" si="40"/>
        <v>18</v>
      </c>
      <c r="I61" s="92">
        <f t="shared" si="40"/>
        <v>18</v>
      </c>
      <c r="J61" s="92">
        <f t="shared" si="40"/>
        <v>18</v>
      </c>
      <c r="K61" s="92">
        <f t="shared" si="40"/>
        <v>18</v>
      </c>
      <c r="L61" s="92">
        <f t="shared" si="40"/>
        <v>18</v>
      </c>
      <c r="M61" s="92">
        <f t="shared" si="40"/>
        <v>18</v>
      </c>
      <c r="N61" s="92">
        <f t="shared" si="40"/>
        <v>18</v>
      </c>
      <c r="O61" s="92">
        <f t="shared" si="40"/>
        <v>18</v>
      </c>
      <c r="P61" s="92">
        <f t="shared" si="40"/>
        <v>18</v>
      </c>
      <c r="Q61" s="92">
        <f t="shared" si="40"/>
        <v>18</v>
      </c>
      <c r="R61" s="92">
        <f t="shared" si="40"/>
        <v>18</v>
      </c>
      <c r="S61" s="193">
        <f t="shared" si="40"/>
        <v>18</v>
      </c>
      <c r="T61" s="92">
        <f t="shared" si="40"/>
        <v>18</v>
      </c>
      <c r="U61" s="107"/>
      <c r="V61" s="97"/>
      <c r="W61" s="89"/>
    </row>
    <row r="62" spans="1:23" s="64" customFormat="1" ht="12" x14ac:dyDescent="0.2">
      <c r="A62" s="91" t="s">
        <v>211</v>
      </c>
      <c r="B62" s="450">
        <f t="shared" ref="B62:T62" si="41">ROUND(IF(B$97&gt;=80,$B$114,IF(AND(B$97&lt;80,B$97&gt;=60),$B$114*0.9167,$B$114*0.8333)),0)</f>
        <v>16</v>
      </c>
      <c r="C62" s="450">
        <f t="shared" si="41"/>
        <v>13</v>
      </c>
      <c r="D62" s="450">
        <f t="shared" si="41"/>
        <v>13</v>
      </c>
      <c r="E62" s="450">
        <f t="shared" si="41"/>
        <v>13</v>
      </c>
      <c r="F62" s="450">
        <f t="shared" si="41"/>
        <v>13</v>
      </c>
      <c r="G62" s="450">
        <f t="shared" si="41"/>
        <v>13</v>
      </c>
      <c r="H62" s="450">
        <f t="shared" si="41"/>
        <v>13</v>
      </c>
      <c r="I62" s="450">
        <f t="shared" si="41"/>
        <v>15</v>
      </c>
      <c r="J62" s="450">
        <f t="shared" si="41"/>
        <v>15</v>
      </c>
      <c r="K62" s="450">
        <f t="shared" ref="K62:S62" si="42">ROUND(IF(K$97&gt;=80,$B$114,IF(AND(K$97&lt;80,K$97&gt;=60),$B$114*0.9167,$B$114*0.8333)),0)</f>
        <v>16</v>
      </c>
      <c r="L62" s="450">
        <f t="shared" si="42"/>
        <v>16</v>
      </c>
      <c r="M62" s="450">
        <f t="shared" si="42"/>
        <v>16</v>
      </c>
      <c r="N62" s="450">
        <f t="shared" si="42"/>
        <v>16</v>
      </c>
      <c r="O62" s="450">
        <f t="shared" si="42"/>
        <v>16</v>
      </c>
      <c r="P62" s="450">
        <f t="shared" si="42"/>
        <v>16</v>
      </c>
      <c r="Q62" s="450">
        <f t="shared" si="42"/>
        <v>16</v>
      </c>
      <c r="R62" s="450">
        <f t="shared" si="42"/>
        <v>16</v>
      </c>
      <c r="S62" s="451">
        <f t="shared" si="42"/>
        <v>16</v>
      </c>
      <c r="T62" s="450">
        <f t="shared" si="41"/>
        <v>13</v>
      </c>
      <c r="U62" s="107"/>
      <c r="V62" s="97"/>
      <c r="W62" s="89"/>
    </row>
    <row r="63" spans="1:23" s="64" customFormat="1" ht="12" x14ac:dyDescent="0.2">
      <c r="A63" s="116" t="s">
        <v>212</v>
      </c>
      <c r="B63" s="115">
        <f t="shared" ref="B63:T63" si="43">ROUNDUP(IF(B$13="Deploy",MAX((B$97/100)*$B115,$B115),(B$97/100)*$B115),0)</f>
        <v>2</v>
      </c>
      <c r="C63" s="115">
        <f t="shared" si="43"/>
        <v>2</v>
      </c>
      <c r="D63" s="115">
        <f t="shared" si="43"/>
        <v>1</v>
      </c>
      <c r="E63" s="115">
        <f t="shared" si="43"/>
        <v>1</v>
      </c>
      <c r="F63" s="115">
        <f t="shared" si="43"/>
        <v>1</v>
      </c>
      <c r="G63" s="115">
        <f t="shared" si="43"/>
        <v>1</v>
      </c>
      <c r="H63" s="115">
        <f t="shared" si="43"/>
        <v>2</v>
      </c>
      <c r="I63" s="452">
        <f t="shared" si="43"/>
        <v>2</v>
      </c>
      <c r="J63" s="115">
        <f t="shared" si="43"/>
        <v>2</v>
      </c>
      <c r="K63" s="115">
        <f t="shared" si="43"/>
        <v>2</v>
      </c>
      <c r="L63" s="115">
        <f t="shared" si="43"/>
        <v>2</v>
      </c>
      <c r="M63" s="115">
        <f t="shared" si="43"/>
        <v>2</v>
      </c>
      <c r="N63" s="115">
        <f t="shared" si="43"/>
        <v>2</v>
      </c>
      <c r="O63" s="115">
        <f t="shared" si="43"/>
        <v>2</v>
      </c>
      <c r="P63" s="115">
        <f t="shared" si="43"/>
        <v>2</v>
      </c>
      <c r="Q63" s="115">
        <f t="shared" si="43"/>
        <v>2</v>
      </c>
      <c r="R63" s="115">
        <f t="shared" si="43"/>
        <v>2</v>
      </c>
      <c r="S63" s="191">
        <f t="shared" si="43"/>
        <v>2</v>
      </c>
      <c r="T63" s="115">
        <f t="shared" si="43"/>
        <v>1</v>
      </c>
      <c r="U63" s="107"/>
      <c r="V63" s="97"/>
      <c r="W63" s="89"/>
    </row>
    <row r="64" spans="1:23" s="64" customFormat="1" ht="12" x14ac:dyDescent="0.2">
      <c r="A64" s="116" t="s">
        <v>213</v>
      </c>
      <c r="B64" s="118">
        <f t="shared" ref="B64:T64" si="44">ROUND(IF(B$97&gt;=80,$B$114*$G$109,IF(AND(B$97&lt;80,B$97&gt;=60),$B$114*$H$109,$B$114*$I$109)),0)</f>
        <v>8</v>
      </c>
      <c r="C64" s="118">
        <f t="shared" si="44"/>
        <v>6</v>
      </c>
      <c r="D64" s="118">
        <f t="shared" si="44"/>
        <v>6</v>
      </c>
      <c r="E64" s="118">
        <f t="shared" si="44"/>
        <v>6</v>
      </c>
      <c r="F64" s="118">
        <f t="shared" si="44"/>
        <v>6</v>
      </c>
      <c r="G64" s="118">
        <f t="shared" si="44"/>
        <v>6</v>
      </c>
      <c r="H64" s="118">
        <f t="shared" si="44"/>
        <v>6</v>
      </c>
      <c r="I64" s="450">
        <f t="shared" si="44"/>
        <v>7</v>
      </c>
      <c r="J64" s="118">
        <f t="shared" si="44"/>
        <v>7</v>
      </c>
      <c r="K64" s="118">
        <f t="shared" ref="K64:S64" si="45">ROUND(IF(K$97&gt;=80,$B$114*$G$109,IF(AND(K$97&lt;80,K$97&gt;=60),$B$114*$H$109,$B$114*$I$109)),0)</f>
        <v>8</v>
      </c>
      <c r="L64" s="118">
        <f t="shared" si="45"/>
        <v>8</v>
      </c>
      <c r="M64" s="118">
        <f t="shared" si="45"/>
        <v>8</v>
      </c>
      <c r="N64" s="118">
        <f t="shared" si="45"/>
        <v>8</v>
      </c>
      <c r="O64" s="118">
        <f t="shared" si="45"/>
        <v>8</v>
      </c>
      <c r="P64" s="118">
        <f t="shared" si="45"/>
        <v>8</v>
      </c>
      <c r="Q64" s="118">
        <f t="shared" si="45"/>
        <v>8</v>
      </c>
      <c r="R64" s="118">
        <f t="shared" si="45"/>
        <v>8</v>
      </c>
      <c r="S64" s="192">
        <f t="shared" si="45"/>
        <v>8</v>
      </c>
      <c r="T64" s="118">
        <f t="shared" si="44"/>
        <v>6</v>
      </c>
      <c r="U64" s="107"/>
      <c r="V64" s="97"/>
      <c r="W64" s="89"/>
    </row>
    <row r="65" spans="1:24" s="64" customFormat="1" ht="12" x14ac:dyDescent="0.2">
      <c r="A65" s="116" t="s">
        <v>214</v>
      </c>
      <c r="B65" s="118">
        <f t="shared" ref="B65:T65" si="46">ROUND(IF(B$97&gt;=80,$B$114*$G$110,IF(AND(B$97&lt;80,B$97&gt;=60),$B$114*$H$110,$B$114*$I$110)),0)</f>
        <v>14</v>
      </c>
      <c r="C65" s="118">
        <f t="shared" si="46"/>
        <v>11</v>
      </c>
      <c r="D65" s="118">
        <f t="shared" si="46"/>
        <v>11</v>
      </c>
      <c r="E65" s="118">
        <f t="shared" si="46"/>
        <v>11</v>
      </c>
      <c r="F65" s="118">
        <f t="shared" si="46"/>
        <v>11</v>
      </c>
      <c r="G65" s="118">
        <f t="shared" si="46"/>
        <v>11</v>
      </c>
      <c r="H65" s="118">
        <f t="shared" si="46"/>
        <v>11</v>
      </c>
      <c r="I65" s="450">
        <f t="shared" si="46"/>
        <v>13</v>
      </c>
      <c r="J65" s="118">
        <f t="shared" si="46"/>
        <v>13</v>
      </c>
      <c r="K65" s="118">
        <f t="shared" ref="K65:S65" si="47">ROUND(IF(K$97&gt;=80,$B$114*$G$110,IF(AND(K$97&lt;80,K$97&gt;=60),$B$114*$H$110,$B$114*$I$110)),0)</f>
        <v>14</v>
      </c>
      <c r="L65" s="118">
        <f t="shared" si="47"/>
        <v>14</v>
      </c>
      <c r="M65" s="118">
        <f t="shared" si="47"/>
        <v>14</v>
      </c>
      <c r="N65" s="118">
        <f t="shared" si="47"/>
        <v>14</v>
      </c>
      <c r="O65" s="118">
        <f t="shared" si="47"/>
        <v>14</v>
      </c>
      <c r="P65" s="118">
        <f t="shared" si="47"/>
        <v>14</v>
      </c>
      <c r="Q65" s="118">
        <f t="shared" si="47"/>
        <v>14</v>
      </c>
      <c r="R65" s="118">
        <f t="shared" si="47"/>
        <v>14</v>
      </c>
      <c r="S65" s="192">
        <f t="shared" si="47"/>
        <v>14</v>
      </c>
      <c r="T65" s="118">
        <f t="shared" si="46"/>
        <v>11</v>
      </c>
      <c r="U65" s="107"/>
      <c r="V65" s="97"/>
      <c r="W65" s="89"/>
    </row>
    <row r="66" spans="1:24" s="64" customFormat="1" ht="12" x14ac:dyDescent="0.2">
      <c r="A66" s="91" t="s">
        <v>134</v>
      </c>
      <c r="B66" s="92">
        <f>$B$118</f>
        <v>18</v>
      </c>
      <c r="C66" s="92">
        <f t="shared" ref="C66:T66" si="48">$B$118</f>
        <v>18</v>
      </c>
      <c r="D66" s="92">
        <f t="shared" si="48"/>
        <v>18</v>
      </c>
      <c r="E66" s="92">
        <f t="shared" si="48"/>
        <v>18</v>
      </c>
      <c r="F66" s="92">
        <f t="shared" si="48"/>
        <v>18</v>
      </c>
      <c r="G66" s="92">
        <f t="shared" si="48"/>
        <v>18</v>
      </c>
      <c r="H66" s="92">
        <f t="shared" si="48"/>
        <v>18</v>
      </c>
      <c r="I66" s="92">
        <f t="shared" si="48"/>
        <v>18</v>
      </c>
      <c r="J66" s="92">
        <f t="shared" si="48"/>
        <v>18</v>
      </c>
      <c r="K66" s="92">
        <f t="shared" si="48"/>
        <v>18</v>
      </c>
      <c r="L66" s="92">
        <f t="shared" si="48"/>
        <v>18</v>
      </c>
      <c r="M66" s="92">
        <f t="shared" si="48"/>
        <v>18</v>
      </c>
      <c r="N66" s="92">
        <f t="shared" si="48"/>
        <v>18</v>
      </c>
      <c r="O66" s="92">
        <f t="shared" si="48"/>
        <v>18</v>
      </c>
      <c r="P66" s="92">
        <f t="shared" si="48"/>
        <v>18</v>
      </c>
      <c r="Q66" s="92">
        <f t="shared" si="48"/>
        <v>18</v>
      </c>
      <c r="R66" s="92">
        <f t="shared" si="48"/>
        <v>18</v>
      </c>
      <c r="S66" s="193">
        <f t="shared" si="48"/>
        <v>18</v>
      </c>
      <c r="T66" s="92">
        <f t="shared" si="48"/>
        <v>18</v>
      </c>
      <c r="U66" s="107"/>
      <c r="V66" s="97"/>
      <c r="W66" s="89"/>
    </row>
    <row r="67" spans="1:24" s="64" customFormat="1" ht="12" x14ac:dyDescent="0.2">
      <c r="A67" s="91" t="s">
        <v>135</v>
      </c>
      <c r="B67" s="450">
        <f t="shared" ref="B67:T67" si="49">ROUND(IF(B$97&gt;=80,$B$119,IF(AND(B$97&lt;80,B$97&gt;=60),$B$119*0.9167,$B$119*0.8333)),0)</f>
        <v>16</v>
      </c>
      <c r="C67" s="450">
        <f t="shared" si="49"/>
        <v>13</v>
      </c>
      <c r="D67" s="450">
        <f t="shared" si="49"/>
        <v>13</v>
      </c>
      <c r="E67" s="450">
        <f t="shared" si="49"/>
        <v>13</v>
      </c>
      <c r="F67" s="450">
        <f t="shared" si="49"/>
        <v>13</v>
      </c>
      <c r="G67" s="450">
        <f t="shared" si="49"/>
        <v>13</v>
      </c>
      <c r="H67" s="450">
        <f t="shared" si="49"/>
        <v>13</v>
      </c>
      <c r="I67" s="450">
        <f t="shared" si="49"/>
        <v>15</v>
      </c>
      <c r="J67" s="450">
        <f t="shared" si="49"/>
        <v>15</v>
      </c>
      <c r="K67" s="450">
        <f t="shared" ref="K67:S67" si="50">ROUND(IF(K$97&gt;=80,$B$119,IF(AND(K$97&lt;80,K$97&gt;=60),$B$119*0.9167,$B$119*0.8333)),0)</f>
        <v>16</v>
      </c>
      <c r="L67" s="450">
        <f t="shared" si="50"/>
        <v>16</v>
      </c>
      <c r="M67" s="450">
        <f t="shared" si="50"/>
        <v>16</v>
      </c>
      <c r="N67" s="450">
        <f t="shared" si="50"/>
        <v>16</v>
      </c>
      <c r="O67" s="450">
        <f t="shared" si="50"/>
        <v>16</v>
      </c>
      <c r="P67" s="450">
        <f t="shared" si="50"/>
        <v>16</v>
      </c>
      <c r="Q67" s="450">
        <f t="shared" si="50"/>
        <v>16</v>
      </c>
      <c r="R67" s="450">
        <f t="shared" si="50"/>
        <v>16</v>
      </c>
      <c r="S67" s="451">
        <f t="shared" si="50"/>
        <v>16</v>
      </c>
      <c r="T67" s="450">
        <f t="shared" si="49"/>
        <v>13</v>
      </c>
      <c r="U67" s="107"/>
      <c r="V67" s="97"/>
      <c r="W67" s="89"/>
    </row>
    <row r="68" spans="1:24" s="64" customFormat="1" ht="12" x14ac:dyDescent="0.2">
      <c r="A68" s="116" t="s">
        <v>215</v>
      </c>
      <c r="B68" s="115">
        <f t="shared" ref="B68:T68" si="51">ROUNDUP(IF(B$13="Deploy",MAX((B$97/100)*$B120,$B120),(B$97/100)*$B120),0)</f>
        <v>2</v>
      </c>
      <c r="C68" s="115">
        <f t="shared" si="51"/>
        <v>2</v>
      </c>
      <c r="D68" s="115">
        <f t="shared" si="51"/>
        <v>1</v>
      </c>
      <c r="E68" s="115">
        <f t="shared" si="51"/>
        <v>1</v>
      </c>
      <c r="F68" s="115">
        <f t="shared" si="51"/>
        <v>1</v>
      </c>
      <c r="G68" s="115">
        <f t="shared" si="51"/>
        <v>1</v>
      </c>
      <c r="H68" s="115">
        <f t="shared" si="51"/>
        <v>2</v>
      </c>
      <c r="I68" s="452">
        <f t="shared" si="51"/>
        <v>2</v>
      </c>
      <c r="J68" s="115">
        <f t="shared" si="51"/>
        <v>2</v>
      </c>
      <c r="K68" s="115">
        <f t="shared" si="51"/>
        <v>2</v>
      </c>
      <c r="L68" s="115">
        <f t="shared" si="51"/>
        <v>2</v>
      </c>
      <c r="M68" s="115">
        <f t="shared" si="51"/>
        <v>2</v>
      </c>
      <c r="N68" s="115">
        <f t="shared" si="51"/>
        <v>2</v>
      </c>
      <c r="O68" s="115">
        <f t="shared" si="51"/>
        <v>2</v>
      </c>
      <c r="P68" s="115">
        <f t="shared" si="51"/>
        <v>2</v>
      </c>
      <c r="Q68" s="115">
        <f t="shared" si="51"/>
        <v>2</v>
      </c>
      <c r="R68" s="115">
        <f t="shared" si="51"/>
        <v>2</v>
      </c>
      <c r="S68" s="191">
        <f t="shared" si="51"/>
        <v>2</v>
      </c>
      <c r="T68" s="115">
        <f t="shared" si="51"/>
        <v>1</v>
      </c>
      <c r="U68" s="107"/>
      <c r="V68" s="97"/>
      <c r="W68" s="89"/>
    </row>
    <row r="69" spans="1:24" s="64" customFormat="1" ht="12" x14ac:dyDescent="0.2">
      <c r="A69" s="116" t="s">
        <v>216</v>
      </c>
      <c r="B69" s="118">
        <f t="shared" ref="B69:T69" si="52">ROUND(IF(B$97&gt;=80,$B$119*$G$111,IF(AND(B$97&lt;80,B$97&gt;=60),$B$119*$H$111,$B$119*$I$111)),0)</f>
        <v>8</v>
      </c>
      <c r="C69" s="118">
        <f t="shared" si="52"/>
        <v>6</v>
      </c>
      <c r="D69" s="118">
        <f t="shared" si="52"/>
        <v>6</v>
      </c>
      <c r="E69" s="118">
        <f t="shared" si="52"/>
        <v>6</v>
      </c>
      <c r="F69" s="118">
        <f t="shared" si="52"/>
        <v>6</v>
      </c>
      <c r="G69" s="118">
        <f t="shared" si="52"/>
        <v>6</v>
      </c>
      <c r="H69" s="118">
        <f t="shared" si="52"/>
        <v>6</v>
      </c>
      <c r="I69" s="450">
        <f t="shared" si="52"/>
        <v>7</v>
      </c>
      <c r="J69" s="118">
        <f t="shared" si="52"/>
        <v>7</v>
      </c>
      <c r="K69" s="118">
        <f t="shared" ref="K69:S69" si="53">ROUND(IF(K$97&gt;=80,$B$119*$G$111,IF(AND(K$97&lt;80,K$97&gt;=60),$B$119*$H$111,$B$119*$I$111)),0)</f>
        <v>8</v>
      </c>
      <c r="L69" s="118">
        <f t="shared" si="53"/>
        <v>8</v>
      </c>
      <c r="M69" s="118">
        <f t="shared" si="53"/>
        <v>8</v>
      </c>
      <c r="N69" s="118">
        <f t="shared" si="53"/>
        <v>8</v>
      </c>
      <c r="O69" s="118">
        <f t="shared" si="53"/>
        <v>8</v>
      </c>
      <c r="P69" s="118">
        <f t="shared" si="53"/>
        <v>8</v>
      </c>
      <c r="Q69" s="118">
        <f t="shared" si="53"/>
        <v>8</v>
      </c>
      <c r="R69" s="118">
        <f t="shared" si="53"/>
        <v>8</v>
      </c>
      <c r="S69" s="192">
        <f t="shared" si="53"/>
        <v>8</v>
      </c>
      <c r="T69" s="118">
        <f t="shared" si="52"/>
        <v>6</v>
      </c>
      <c r="U69" s="107"/>
      <c r="V69" s="97"/>
      <c r="W69" s="89"/>
    </row>
    <row r="70" spans="1:24" s="64" customFormat="1" ht="12" x14ac:dyDescent="0.2">
      <c r="A70" s="116" t="s">
        <v>217</v>
      </c>
      <c r="B70" s="118">
        <f t="shared" ref="B70:T70" si="54">ROUND(IF(B$97&gt;=80,$B$119*$G$112,IF(AND(B$97&lt;80,B$97&gt;=60),$B$119*$H$112,$B$119*$I$112)),0)</f>
        <v>14</v>
      </c>
      <c r="C70" s="118">
        <f t="shared" si="54"/>
        <v>11</v>
      </c>
      <c r="D70" s="118">
        <f t="shared" si="54"/>
        <v>11</v>
      </c>
      <c r="E70" s="118">
        <f t="shared" si="54"/>
        <v>11</v>
      </c>
      <c r="F70" s="118">
        <f t="shared" si="54"/>
        <v>11</v>
      </c>
      <c r="G70" s="118">
        <f t="shared" si="54"/>
        <v>11</v>
      </c>
      <c r="H70" s="118">
        <f t="shared" si="54"/>
        <v>11</v>
      </c>
      <c r="I70" s="450">
        <f t="shared" si="54"/>
        <v>13</v>
      </c>
      <c r="J70" s="118">
        <f t="shared" si="54"/>
        <v>13</v>
      </c>
      <c r="K70" s="118">
        <f t="shared" ref="K70:S70" si="55">ROUND(IF(K$97&gt;=80,$B$119*$G$112,IF(AND(K$97&lt;80,K$97&gt;=60),$B$119*$H$112,$B$119*$I$112)),0)</f>
        <v>14</v>
      </c>
      <c r="L70" s="118">
        <f t="shared" si="55"/>
        <v>14</v>
      </c>
      <c r="M70" s="118">
        <f t="shared" si="55"/>
        <v>14</v>
      </c>
      <c r="N70" s="118">
        <f t="shared" si="55"/>
        <v>14</v>
      </c>
      <c r="O70" s="118">
        <f t="shared" si="55"/>
        <v>14</v>
      </c>
      <c r="P70" s="118">
        <f t="shared" si="55"/>
        <v>14</v>
      </c>
      <c r="Q70" s="118">
        <f t="shared" si="55"/>
        <v>14</v>
      </c>
      <c r="R70" s="118">
        <f t="shared" si="55"/>
        <v>14</v>
      </c>
      <c r="S70" s="192">
        <f t="shared" si="55"/>
        <v>14</v>
      </c>
      <c r="T70" s="118">
        <f t="shared" si="54"/>
        <v>11</v>
      </c>
      <c r="U70" s="107"/>
      <c r="V70" s="97"/>
      <c r="W70" s="89"/>
    </row>
    <row r="71" spans="1:24" s="64" customFormat="1" ht="12" x14ac:dyDescent="0.2">
      <c r="A71" s="91" t="s">
        <v>139</v>
      </c>
      <c r="B71" s="92">
        <f>$B$123</f>
        <v>9</v>
      </c>
      <c r="C71" s="92">
        <f t="shared" ref="C71:T71" si="56">$B$123</f>
        <v>9</v>
      </c>
      <c r="D71" s="92">
        <f t="shared" si="56"/>
        <v>9</v>
      </c>
      <c r="E71" s="92">
        <f t="shared" si="56"/>
        <v>9</v>
      </c>
      <c r="F71" s="92">
        <f t="shared" si="56"/>
        <v>9</v>
      </c>
      <c r="G71" s="92">
        <f t="shared" si="56"/>
        <v>9</v>
      </c>
      <c r="H71" s="92">
        <f t="shared" si="56"/>
        <v>9</v>
      </c>
      <c r="I71" s="92">
        <f t="shared" si="56"/>
        <v>9</v>
      </c>
      <c r="J71" s="92">
        <f t="shared" si="56"/>
        <v>9</v>
      </c>
      <c r="K71" s="92">
        <f t="shared" si="56"/>
        <v>9</v>
      </c>
      <c r="L71" s="92">
        <f t="shared" si="56"/>
        <v>9</v>
      </c>
      <c r="M71" s="92">
        <f t="shared" si="56"/>
        <v>9</v>
      </c>
      <c r="N71" s="92">
        <f t="shared" si="56"/>
        <v>9</v>
      </c>
      <c r="O71" s="92">
        <f t="shared" si="56"/>
        <v>9</v>
      </c>
      <c r="P71" s="92">
        <f t="shared" si="56"/>
        <v>9</v>
      </c>
      <c r="Q71" s="92">
        <f t="shared" si="56"/>
        <v>9</v>
      </c>
      <c r="R71" s="92">
        <f t="shared" si="56"/>
        <v>9</v>
      </c>
      <c r="S71" s="193">
        <f t="shared" si="56"/>
        <v>9</v>
      </c>
      <c r="T71" s="92">
        <f t="shared" si="56"/>
        <v>9</v>
      </c>
      <c r="U71" s="107"/>
      <c r="V71" s="97"/>
      <c r="W71" s="89"/>
    </row>
    <row r="72" spans="1:24" s="64" customFormat="1" ht="12" x14ac:dyDescent="0.2">
      <c r="A72" s="91" t="s">
        <v>140</v>
      </c>
      <c r="B72" s="450">
        <f t="shared" ref="B72:T72" si="57">ROUND(IF(B$97&gt;=80,$B$124,IF(AND(B$97&lt;80,B$97&gt;=60),$B$124*0.9167,$B$124*0.8333)),0)</f>
        <v>8</v>
      </c>
      <c r="C72" s="450">
        <f t="shared" si="57"/>
        <v>7</v>
      </c>
      <c r="D72" s="450">
        <f t="shared" si="57"/>
        <v>7</v>
      </c>
      <c r="E72" s="450">
        <f t="shared" si="57"/>
        <v>7</v>
      </c>
      <c r="F72" s="450">
        <f t="shared" si="57"/>
        <v>7</v>
      </c>
      <c r="G72" s="450">
        <f t="shared" si="57"/>
        <v>7</v>
      </c>
      <c r="H72" s="450">
        <f t="shared" si="57"/>
        <v>7</v>
      </c>
      <c r="I72" s="450">
        <f t="shared" si="57"/>
        <v>7</v>
      </c>
      <c r="J72" s="450">
        <f t="shared" si="57"/>
        <v>7</v>
      </c>
      <c r="K72" s="450">
        <f t="shared" ref="K72:S72" si="58">ROUND(IF(K$97&gt;=80,$B$124,IF(AND(K$97&lt;80,K$97&gt;=60),$B$124*0.9167,$B$124*0.8333)),0)</f>
        <v>8</v>
      </c>
      <c r="L72" s="450">
        <f t="shared" si="58"/>
        <v>8</v>
      </c>
      <c r="M72" s="450">
        <f t="shared" si="58"/>
        <v>8</v>
      </c>
      <c r="N72" s="450">
        <f t="shared" si="58"/>
        <v>8</v>
      </c>
      <c r="O72" s="450">
        <f t="shared" si="58"/>
        <v>8</v>
      </c>
      <c r="P72" s="450">
        <f t="shared" si="58"/>
        <v>8</v>
      </c>
      <c r="Q72" s="450">
        <f t="shared" si="58"/>
        <v>8</v>
      </c>
      <c r="R72" s="450">
        <f t="shared" si="58"/>
        <v>8</v>
      </c>
      <c r="S72" s="451">
        <f t="shared" si="58"/>
        <v>8</v>
      </c>
      <c r="T72" s="450">
        <f t="shared" si="57"/>
        <v>7</v>
      </c>
      <c r="U72" s="107"/>
      <c r="V72" s="97"/>
      <c r="W72" s="89"/>
    </row>
    <row r="73" spans="1:24" s="64" customFormat="1" ht="12" x14ac:dyDescent="0.2">
      <c r="A73" s="116" t="s">
        <v>218</v>
      </c>
      <c r="B73" s="115">
        <f t="shared" ref="B73:T73" si="59">ROUNDUP(IF(B$13="Deploy",MAX((B$97/100)*$B125,$B125),(B$97/100)*$B125),0)</f>
        <v>1</v>
      </c>
      <c r="C73" s="115">
        <f t="shared" si="59"/>
        <v>1</v>
      </c>
      <c r="D73" s="115">
        <f t="shared" si="59"/>
        <v>1</v>
      </c>
      <c r="E73" s="115">
        <f t="shared" si="59"/>
        <v>1</v>
      </c>
      <c r="F73" s="115">
        <f t="shared" si="59"/>
        <v>1</v>
      </c>
      <c r="G73" s="115">
        <f t="shared" si="59"/>
        <v>1</v>
      </c>
      <c r="H73" s="115">
        <f t="shared" si="59"/>
        <v>1</v>
      </c>
      <c r="I73" s="452">
        <f t="shared" si="59"/>
        <v>1</v>
      </c>
      <c r="J73" s="115">
        <f t="shared" si="59"/>
        <v>1</v>
      </c>
      <c r="K73" s="115">
        <f t="shared" si="59"/>
        <v>1</v>
      </c>
      <c r="L73" s="115">
        <f t="shared" si="59"/>
        <v>1</v>
      </c>
      <c r="M73" s="115">
        <f t="shared" si="59"/>
        <v>1</v>
      </c>
      <c r="N73" s="115">
        <f t="shared" si="59"/>
        <v>1</v>
      </c>
      <c r="O73" s="115">
        <f t="shared" si="59"/>
        <v>1</v>
      </c>
      <c r="P73" s="115">
        <f t="shared" si="59"/>
        <v>1</v>
      </c>
      <c r="Q73" s="115">
        <f t="shared" si="59"/>
        <v>1</v>
      </c>
      <c r="R73" s="115">
        <f t="shared" si="59"/>
        <v>1</v>
      </c>
      <c r="S73" s="191">
        <f t="shared" si="59"/>
        <v>1</v>
      </c>
      <c r="T73" s="115">
        <f t="shared" si="59"/>
        <v>1</v>
      </c>
      <c r="U73" s="107"/>
      <c r="V73" s="97"/>
      <c r="W73" s="89"/>
    </row>
    <row r="74" spans="1:24" s="64" customFormat="1" ht="12" x14ac:dyDescent="0.2">
      <c r="A74" s="116" t="s">
        <v>219</v>
      </c>
      <c r="B74" s="118">
        <f t="shared" ref="B74:T74" si="60">ROUND(IF(B$97&gt;=80,$B$124*$G$113,IF(AND(B$97&lt;80,B$97&gt;=60),$B$124*$H$113,$B$124*$I$113)),0)</f>
        <v>7</v>
      </c>
      <c r="C74" s="118">
        <f t="shared" si="60"/>
        <v>4</v>
      </c>
      <c r="D74" s="118">
        <f t="shared" si="60"/>
        <v>4</v>
      </c>
      <c r="E74" s="118">
        <f t="shared" si="60"/>
        <v>4</v>
      </c>
      <c r="F74" s="118">
        <f t="shared" si="60"/>
        <v>4</v>
      </c>
      <c r="G74" s="118">
        <f t="shared" si="60"/>
        <v>4</v>
      </c>
      <c r="H74" s="118">
        <f t="shared" si="60"/>
        <v>4</v>
      </c>
      <c r="I74" s="450">
        <f t="shared" si="60"/>
        <v>6</v>
      </c>
      <c r="J74" s="118">
        <f t="shared" si="60"/>
        <v>6</v>
      </c>
      <c r="K74" s="118">
        <f t="shared" ref="K74:S74" si="61">ROUND(IF(K$97&gt;=80,$B$124*$G$113,IF(AND(K$97&lt;80,K$97&gt;=60),$B$124*$H$113,$B$124*$I$113)),0)</f>
        <v>7</v>
      </c>
      <c r="L74" s="118">
        <f t="shared" si="61"/>
        <v>7</v>
      </c>
      <c r="M74" s="118">
        <f t="shared" si="61"/>
        <v>7</v>
      </c>
      <c r="N74" s="118">
        <f t="shared" si="61"/>
        <v>7</v>
      </c>
      <c r="O74" s="118">
        <f t="shared" si="61"/>
        <v>7</v>
      </c>
      <c r="P74" s="118">
        <f t="shared" si="61"/>
        <v>7</v>
      </c>
      <c r="Q74" s="118">
        <f t="shared" si="61"/>
        <v>7</v>
      </c>
      <c r="R74" s="118">
        <f t="shared" si="61"/>
        <v>7</v>
      </c>
      <c r="S74" s="192">
        <f t="shared" si="61"/>
        <v>7</v>
      </c>
      <c r="T74" s="118">
        <f t="shared" si="60"/>
        <v>4</v>
      </c>
      <c r="U74" s="107"/>
      <c r="V74" s="97"/>
      <c r="W74" s="89"/>
    </row>
    <row r="75" spans="1:24" s="64" customFormat="1" ht="12" x14ac:dyDescent="0.2">
      <c r="A75" s="116" t="s">
        <v>220</v>
      </c>
      <c r="B75" s="118">
        <f t="shared" ref="B75:T75" si="62">ROUND(IF(B$97&gt;=80,$B$124*$G$114,IF(AND(B$97&lt;80,B$97&gt;=60),$B$124*$H$114,$B$124*$I$114)),0)</f>
        <v>8</v>
      </c>
      <c r="C75" s="118">
        <f t="shared" si="62"/>
        <v>5</v>
      </c>
      <c r="D75" s="118">
        <f t="shared" si="62"/>
        <v>5</v>
      </c>
      <c r="E75" s="118">
        <f t="shared" si="62"/>
        <v>5</v>
      </c>
      <c r="F75" s="118">
        <f t="shared" si="62"/>
        <v>5</v>
      </c>
      <c r="G75" s="118">
        <f t="shared" si="62"/>
        <v>5</v>
      </c>
      <c r="H75" s="118">
        <f t="shared" si="62"/>
        <v>5</v>
      </c>
      <c r="I75" s="450">
        <f t="shared" si="62"/>
        <v>7</v>
      </c>
      <c r="J75" s="118">
        <f t="shared" si="62"/>
        <v>7</v>
      </c>
      <c r="K75" s="118">
        <f t="shared" ref="K75:S75" si="63">ROUND(IF(K$97&gt;=80,$B$124*$G$114,IF(AND(K$97&lt;80,K$97&gt;=60),$B$124*$H$114,$B$124*$I$114)),0)</f>
        <v>8</v>
      </c>
      <c r="L75" s="118">
        <f t="shared" si="63"/>
        <v>8</v>
      </c>
      <c r="M75" s="118">
        <f t="shared" si="63"/>
        <v>8</v>
      </c>
      <c r="N75" s="118">
        <f t="shared" si="63"/>
        <v>8</v>
      </c>
      <c r="O75" s="118">
        <f t="shared" si="63"/>
        <v>8</v>
      </c>
      <c r="P75" s="118">
        <f t="shared" si="63"/>
        <v>8</v>
      </c>
      <c r="Q75" s="118">
        <f t="shared" si="63"/>
        <v>8</v>
      </c>
      <c r="R75" s="118">
        <f t="shared" si="63"/>
        <v>8</v>
      </c>
      <c r="S75" s="192">
        <f t="shared" si="63"/>
        <v>8</v>
      </c>
      <c r="T75" s="118">
        <f t="shared" si="62"/>
        <v>5</v>
      </c>
      <c r="U75" s="107"/>
      <c r="V75" s="97"/>
      <c r="W75" s="179"/>
      <c r="X75" s="180"/>
    </row>
    <row r="76" spans="1:24" s="64" customFormat="1" ht="12" x14ac:dyDescent="0.2">
      <c r="A76" s="91" t="s">
        <v>221</v>
      </c>
      <c r="B76" s="92">
        <f>$B$128</f>
        <v>9</v>
      </c>
      <c r="C76" s="92">
        <f t="shared" ref="C76:T76" si="64">$B$128</f>
        <v>9</v>
      </c>
      <c r="D76" s="92">
        <f t="shared" si="64"/>
        <v>9</v>
      </c>
      <c r="E76" s="92">
        <f t="shared" si="64"/>
        <v>9</v>
      </c>
      <c r="F76" s="92">
        <f t="shared" si="64"/>
        <v>9</v>
      </c>
      <c r="G76" s="92">
        <f t="shared" si="64"/>
        <v>9</v>
      </c>
      <c r="H76" s="92">
        <f t="shared" si="64"/>
        <v>9</v>
      </c>
      <c r="I76" s="92">
        <f t="shared" si="64"/>
        <v>9</v>
      </c>
      <c r="J76" s="92">
        <f t="shared" si="64"/>
        <v>9</v>
      </c>
      <c r="K76" s="92">
        <f t="shared" si="64"/>
        <v>9</v>
      </c>
      <c r="L76" s="92">
        <f t="shared" si="64"/>
        <v>9</v>
      </c>
      <c r="M76" s="92">
        <f t="shared" si="64"/>
        <v>9</v>
      </c>
      <c r="N76" s="92">
        <f t="shared" si="64"/>
        <v>9</v>
      </c>
      <c r="O76" s="92">
        <f t="shared" si="64"/>
        <v>9</v>
      </c>
      <c r="P76" s="92">
        <f t="shared" si="64"/>
        <v>9</v>
      </c>
      <c r="Q76" s="92">
        <f t="shared" si="64"/>
        <v>9</v>
      </c>
      <c r="R76" s="92">
        <f t="shared" si="64"/>
        <v>9</v>
      </c>
      <c r="S76" s="193">
        <f t="shared" si="64"/>
        <v>9</v>
      </c>
      <c r="T76" s="92">
        <f t="shared" si="64"/>
        <v>9</v>
      </c>
      <c r="U76" s="107"/>
      <c r="V76" s="97"/>
      <c r="W76" s="181"/>
      <c r="X76" s="182"/>
    </row>
    <row r="77" spans="1:24" s="64" customFormat="1" ht="12" x14ac:dyDescent="0.2">
      <c r="A77" s="91" t="s">
        <v>222</v>
      </c>
      <c r="B77" s="450">
        <f t="shared" ref="B77:T77" si="65">ROUND(IF(B$97&gt;=80,$B$129,IF(AND(B$97&lt;80,B$97&gt;=60),$B$129*0.9167,$B$129*0.8333)),0)</f>
        <v>8</v>
      </c>
      <c r="C77" s="450">
        <f t="shared" si="65"/>
        <v>7</v>
      </c>
      <c r="D77" s="450">
        <f t="shared" si="65"/>
        <v>7</v>
      </c>
      <c r="E77" s="450">
        <f t="shared" si="65"/>
        <v>7</v>
      </c>
      <c r="F77" s="450">
        <f t="shared" si="65"/>
        <v>7</v>
      </c>
      <c r="G77" s="450">
        <f t="shared" si="65"/>
        <v>7</v>
      </c>
      <c r="H77" s="450">
        <f t="shared" si="65"/>
        <v>7</v>
      </c>
      <c r="I77" s="450">
        <f t="shared" si="65"/>
        <v>7</v>
      </c>
      <c r="J77" s="450">
        <f t="shared" si="65"/>
        <v>7</v>
      </c>
      <c r="K77" s="450">
        <f t="shared" ref="K77:S77" si="66">ROUND(IF(K$97&gt;=80,$B$129,IF(AND(K$97&lt;80,K$97&gt;=60),$B$129*0.9167,$B$129*0.8333)),0)</f>
        <v>8</v>
      </c>
      <c r="L77" s="450">
        <f t="shared" si="66"/>
        <v>8</v>
      </c>
      <c r="M77" s="450">
        <f t="shared" si="66"/>
        <v>8</v>
      </c>
      <c r="N77" s="450">
        <f t="shared" si="66"/>
        <v>8</v>
      </c>
      <c r="O77" s="450">
        <f t="shared" si="66"/>
        <v>8</v>
      </c>
      <c r="P77" s="450">
        <f t="shared" si="66"/>
        <v>8</v>
      </c>
      <c r="Q77" s="450">
        <f t="shared" si="66"/>
        <v>8</v>
      </c>
      <c r="R77" s="450">
        <f t="shared" si="66"/>
        <v>8</v>
      </c>
      <c r="S77" s="451">
        <f t="shared" si="66"/>
        <v>8</v>
      </c>
      <c r="T77" s="450">
        <f t="shared" si="65"/>
        <v>7</v>
      </c>
      <c r="U77" s="107"/>
      <c r="V77" s="97"/>
      <c r="W77" s="181"/>
      <c r="X77" s="182"/>
    </row>
    <row r="78" spans="1:24" s="64" customFormat="1" ht="12" x14ac:dyDescent="0.2">
      <c r="A78" s="116" t="s">
        <v>223</v>
      </c>
      <c r="B78" s="115">
        <f t="shared" ref="B78:T78" si="67">ROUNDUP(IF(B$13="Deploy",MAX((B$97/100)*$B130,$B130),(B$97/100)*$B130),0)</f>
        <v>1</v>
      </c>
      <c r="C78" s="115">
        <f t="shared" si="67"/>
        <v>1</v>
      </c>
      <c r="D78" s="115">
        <f t="shared" si="67"/>
        <v>1</v>
      </c>
      <c r="E78" s="115">
        <f t="shared" si="67"/>
        <v>1</v>
      </c>
      <c r="F78" s="115">
        <f t="shared" si="67"/>
        <v>1</v>
      </c>
      <c r="G78" s="115">
        <f t="shared" si="67"/>
        <v>1</v>
      </c>
      <c r="H78" s="115">
        <f t="shared" si="67"/>
        <v>1</v>
      </c>
      <c r="I78" s="452">
        <f t="shared" si="67"/>
        <v>1</v>
      </c>
      <c r="J78" s="115">
        <f t="shared" si="67"/>
        <v>1</v>
      </c>
      <c r="K78" s="115">
        <f t="shared" si="67"/>
        <v>1</v>
      </c>
      <c r="L78" s="115">
        <f t="shared" si="67"/>
        <v>1</v>
      </c>
      <c r="M78" s="115">
        <f t="shared" si="67"/>
        <v>1</v>
      </c>
      <c r="N78" s="115">
        <f t="shared" si="67"/>
        <v>1</v>
      </c>
      <c r="O78" s="115">
        <f t="shared" si="67"/>
        <v>1</v>
      </c>
      <c r="P78" s="115">
        <f t="shared" si="67"/>
        <v>1</v>
      </c>
      <c r="Q78" s="115">
        <f t="shared" si="67"/>
        <v>1</v>
      </c>
      <c r="R78" s="115">
        <f t="shared" si="67"/>
        <v>1</v>
      </c>
      <c r="S78" s="191">
        <f t="shared" si="67"/>
        <v>1</v>
      </c>
      <c r="T78" s="115">
        <f t="shared" si="67"/>
        <v>1</v>
      </c>
      <c r="U78" s="107"/>
      <c r="V78" s="97"/>
      <c r="W78" s="183"/>
      <c r="X78" s="184"/>
    </row>
    <row r="79" spans="1:24" s="64" customFormat="1" ht="12" x14ac:dyDescent="0.2">
      <c r="A79" s="116" t="s">
        <v>224</v>
      </c>
      <c r="B79" s="118">
        <f t="shared" ref="B79:T79" si="68">ROUND(IF(B$97&gt;=80,$B$129*$G$115,IF(AND(B$97&lt;80,B$97&gt;=60),$B$129*$H$115,$B$129*$I$115)),0)</f>
        <v>7</v>
      </c>
      <c r="C79" s="118">
        <f t="shared" si="68"/>
        <v>4</v>
      </c>
      <c r="D79" s="118">
        <f t="shared" si="68"/>
        <v>4</v>
      </c>
      <c r="E79" s="118">
        <f t="shared" si="68"/>
        <v>4</v>
      </c>
      <c r="F79" s="118">
        <f t="shared" si="68"/>
        <v>4</v>
      </c>
      <c r="G79" s="118">
        <f t="shared" si="68"/>
        <v>4</v>
      </c>
      <c r="H79" s="118">
        <f t="shared" si="68"/>
        <v>4</v>
      </c>
      <c r="I79" s="450">
        <f t="shared" si="68"/>
        <v>6</v>
      </c>
      <c r="J79" s="118">
        <f t="shared" si="68"/>
        <v>6</v>
      </c>
      <c r="K79" s="118">
        <f t="shared" ref="K79:S79" si="69">ROUND(IF(K$97&gt;=80,$B$129*$G$115,IF(AND(K$97&lt;80,K$97&gt;=60),$B$129*$H$115,$B$129*$I$115)),0)</f>
        <v>7</v>
      </c>
      <c r="L79" s="118">
        <f t="shared" si="69"/>
        <v>7</v>
      </c>
      <c r="M79" s="118">
        <f t="shared" si="69"/>
        <v>7</v>
      </c>
      <c r="N79" s="118">
        <f t="shared" si="69"/>
        <v>7</v>
      </c>
      <c r="O79" s="118">
        <f t="shared" si="69"/>
        <v>7</v>
      </c>
      <c r="P79" s="118">
        <f t="shared" si="69"/>
        <v>7</v>
      </c>
      <c r="Q79" s="118">
        <f t="shared" si="69"/>
        <v>7</v>
      </c>
      <c r="R79" s="118">
        <f t="shared" si="69"/>
        <v>7</v>
      </c>
      <c r="S79" s="192">
        <f t="shared" si="69"/>
        <v>7</v>
      </c>
      <c r="T79" s="118">
        <f t="shared" si="68"/>
        <v>4</v>
      </c>
      <c r="U79" s="107"/>
      <c r="V79" s="97"/>
      <c r="W79" s="183"/>
      <c r="X79" s="184"/>
    </row>
    <row r="80" spans="1:24" s="64" customFormat="1" ht="12.75" thickBot="1" x14ac:dyDescent="0.25">
      <c r="A80" s="117" t="s">
        <v>225</v>
      </c>
      <c r="B80" s="132">
        <f t="shared" ref="B80:T80" si="70">ROUND(IF(B$97&gt;=80,$B$128*$G$116,IF(AND(B$97&lt;80,B$97&gt;=60),$B$128*$H$116,$B$128*$I$116)),0)</f>
        <v>9</v>
      </c>
      <c r="C80" s="132">
        <f t="shared" si="70"/>
        <v>6</v>
      </c>
      <c r="D80" s="132">
        <f t="shared" si="70"/>
        <v>6</v>
      </c>
      <c r="E80" s="132">
        <f t="shared" si="70"/>
        <v>6</v>
      </c>
      <c r="F80" s="132">
        <f t="shared" si="70"/>
        <v>6</v>
      </c>
      <c r="G80" s="132">
        <f t="shared" si="70"/>
        <v>6</v>
      </c>
      <c r="H80" s="132">
        <f t="shared" si="70"/>
        <v>6</v>
      </c>
      <c r="I80" s="453">
        <f t="shared" si="70"/>
        <v>7</v>
      </c>
      <c r="J80" s="132">
        <f t="shared" si="70"/>
        <v>7</v>
      </c>
      <c r="K80" s="132">
        <f t="shared" ref="K80:S80" si="71">ROUND(IF(K$97&gt;=80,$B$128*$G$116,IF(AND(K$97&lt;80,K$97&gt;=60),$B$128*$H$116,$B$128*$I$116)),0)</f>
        <v>9</v>
      </c>
      <c r="L80" s="132">
        <f t="shared" si="71"/>
        <v>9</v>
      </c>
      <c r="M80" s="132">
        <f t="shared" si="71"/>
        <v>9</v>
      </c>
      <c r="N80" s="132">
        <f t="shared" si="71"/>
        <v>9</v>
      </c>
      <c r="O80" s="132">
        <f t="shared" si="71"/>
        <v>9</v>
      </c>
      <c r="P80" s="132">
        <f t="shared" si="71"/>
        <v>9</v>
      </c>
      <c r="Q80" s="132">
        <f t="shared" si="71"/>
        <v>9</v>
      </c>
      <c r="R80" s="132">
        <f t="shared" si="71"/>
        <v>9</v>
      </c>
      <c r="S80" s="194">
        <f t="shared" si="71"/>
        <v>9</v>
      </c>
      <c r="T80" s="132">
        <f t="shared" si="70"/>
        <v>6</v>
      </c>
      <c r="U80" s="107"/>
      <c r="V80" s="97"/>
      <c r="W80" s="89"/>
    </row>
    <row r="81" spans="1:37" s="64" customFormat="1" ht="12" x14ac:dyDescent="0.2">
      <c r="A81" s="90" t="s">
        <v>144</v>
      </c>
      <c r="B81" s="230"/>
      <c r="C81" s="230"/>
      <c r="D81" s="230"/>
      <c r="E81" s="230"/>
      <c r="F81" s="230"/>
      <c r="G81" s="230"/>
      <c r="H81" s="230"/>
      <c r="I81" s="230"/>
      <c r="J81" s="230"/>
      <c r="K81" s="230"/>
      <c r="L81" s="230"/>
      <c r="M81" s="230"/>
      <c r="N81" s="230"/>
      <c r="O81" s="230"/>
      <c r="P81" s="230"/>
      <c r="Q81" s="230"/>
      <c r="R81" s="230"/>
      <c r="S81" s="230"/>
      <c r="T81" s="545"/>
      <c r="U81" s="80"/>
      <c r="V81" s="80"/>
      <c r="W81" s="80"/>
      <c r="X81" s="93"/>
    </row>
    <row r="82" spans="1:37" s="65" customFormat="1" ht="12" x14ac:dyDescent="0.2">
      <c r="A82" s="91" t="str">
        <f>A134</f>
        <v># Skilled Crews</v>
      </c>
      <c r="B82" s="111">
        <v>9</v>
      </c>
      <c r="C82" s="111">
        <v>7</v>
      </c>
      <c r="D82" s="111">
        <v>2</v>
      </c>
      <c r="E82" s="111">
        <v>2</v>
      </c>
      <c r="F82" s="111">
        <v>2</v>
      </c>
      <c r="G82" s="111">
        <v>2</v>
      </c>
      <c r="H82" s="111">
        <v>2</v>
      </c>
      <c r="I82" s="111">
        <v>3</v>
      </c>
      <c r="J82" s="111">
        <v>4</v>
      </c>
      <c r="K82" s="111">
        <v>6</v>
      </c>
      <c r="L82" s="111">
        <v>8</v>
      </c>
      <c r="M82" s="111">
        <v>9</v>
      </c>
      <c r="N82" s="111">
        <v>9</v>
      </c>
      <c r="O82" s="111">
        <v>9</v>
      </c>
      <c r="P82" s="111">
        <v>9</v>
      </c>
      <c r="Q82" s="111">
        <v>9</v>
      </c>
      <c r="R82" s="111">
        <v>9</v>
      </c>
      <c r="S82" s="190">
        <v>9</v>
      </c>
      <c r="T82" s="111">
        <v>3</v>
      </c>
      <c r="U82" s="107"/>
      <c r="V82" s="97"/>
      <c r="W82" s="89"/>
      <c r="X82" s="64"/>
    </row>
    <row r="83" spans="1:37" s="65" customFormat="1" ht="12.75" x14ac:dyDescent="0.2">
      <c r="A83" s="468" t="s">
        <v>145</v>
      </c>
      <c r="B83" s="469"/>
      <c r="C83" s="470"/>
      <c r="D83" s="470"/>
      <c r="E83" s="470"/>
      <c r="F83" s="470"/>
      <c r="G83" s="471"/>
      <c r="H83" s="471"/>
      <c r="I83" s="471"/>
      <c r="J83" s="471"/>
      <c r="K83" s="471"/>
      <c r="L83" s="471"/>
      <c r="M83" s="471"/>
      <c r="N83" s="471"/>
      <c r="O83" s="471"/>
      <c r="P83" s="472"/>
      <c r="Q83" s="472"/>
      <c r="R83" s="473"/>
      <c r="S83" s="473"/>
      <c r="T83" s="409"/>
      <c r="U83" s="94"/>
    </row>
    <row r="84" spans="1:37" s="65" customFormat="1" ht="12" x14ac:dyDescent="0.2">
      <c r="A84" s="213" t="s">
        <v>146</v>
      </c>
      <c r="B84" s="474">
        <v>0.8</v>
      </c>
      <c r="C84" s="474">
        <v>0.8</v>
      </c>
      <c r="D84" s="474">
        <v>0.8</v>
      </c>
      <c r="E84" s="474">
        <v>0.8</v>
      </c>
      <c r="F84" s="474">
        <v>0.8</v>
      </c>
      <c r="G84" s="474">
        <v>0.8</v>
      </c>
      <c r="H84" s="474">
        <v>0.8</v>
      </c>
      <c r="I84" s="474">
        <v>0.8</v>
      </c>
      <c r="J84" s="474">
        <v>0.8</v>
      </c>
      <c r="K84" s="474">
        <v>0.8</v>
      </c>
      <c r="L84" s="474">
        <v>0.8</v>
      </c>
      <c r="M84" s="474">
        <v>0.8</v>
      </c>
      <c r="N84" s="474">
        <v>0.8</v>
      </c>
      <c r="O84" s="474">
        <v>0.8</v>
      </c>
      <c r="P84" s="474">
        <v>0.8</v>
      </c>
      <c r="Q84" s="474">
        <v>0.8</v>
      </c>
      <c r="R84" s="474">
        <v>0.8</v>
      </c>
      <c r="S84" s="491">
        <v>0.8</v>
      </c>
      <c r="T84" s="474">
        <v>0.8</v>
      </c>
      <c r="U84" s="94"/>
    </row>
    <row r="85" spans="1:37" s="65" customFormat="1" ht="12" x14ac:dyDescent="0.2">
      <c r="A85" s="213" t="s">
        <v>147</v>
      </c>
      <c r="B85" s="475">
        <v>0.8</v>
      </c>
      <c r="C85" s="475">
        <v>0.8</v>
      </c>
      <c r="D85" s="475">
        <v>0.8</v>
      </c>
      <c r="E85" s="475">
        <v>0.8</v>
      </c>
      <c r="F85" s="475">
        <v>0.8</v>
      </c>
      <c r="G85" s="475">
        <v>0.8</v>
      </c>
      <c r="H85" s="475">
        <v>0.8</v>
      </c>
      <c r="I85" s="475">
        <v>0.8</v>
      </c>
      <c r="J85" s="475">
        <v>0.8</v>
      </c>
      <c r="K85" s="475">
        <v>0.8</v>
      </c>
      <c r="L85" s="475">
        <v>0.8</v>
      </c>
      <c r="M85" s="475">
        <v>0.8</v>
      </c>
      <c r="N85" s="475">
        <v>0.8</v>
      </c>
      <c r="O85" s="475">
        <v>0.8</v>
      </c>
      <c r="P85" s="475">
        <v>0.8</v>
      </c>
      <c r="Q85" s="475">
        <v>0.8</v>
      </c>
      <c r="R85" s="475">
        <v>0.8</v>
      </c>
      <c r="S85" s="492">
        <v>0.8</v>
      </c>
      <c r="T85" s="475">
        <v>0.8</v>
      </c>
      <c r="U85" s="94"/>
    </row>
    <row r="86" spans="1:37" s="65" customFormat="1" ht="12" x14ac:dyDescent="0.2">
      <c r="A86" s="213" t="s">
        <v>148</v>
      </c>
      <c r="B86" s="475">
        <v>0.75</v>
      </c>
      <c r="C86" s="475">
        <v>0.75</v>
      </c>
      <c r="D86" s="475">
        <v>0.75</v>
      </c>
      <c r="E86" s="475">
        <v>0.75</v>
      </c>
      <c r="F86" s="475">
        <v>0.75</v>
      </c>
      <c r="G86" s="475">
        <v>0.75</v>
      </c>
      <c r="H86" s="475">
        <v>0.75</v>
      </c>
      <c r="I86" s="475">
        <v>0.75</v>
      </c>
      <c r="J86" s="475">
        <v>0.75</v>
      </c>
      <c r="K86" s="475">
        <v>0.75</v>
      </c>
      <c r="L86" s="475">
        <v>0.75</v>
      </c>
      <c r="M86" s="475">
        <v>0.75</v>
      </c>
      <c r="N86" s="475">
        <v>0.75</v>
      </c>
      <c r="O86" s="475">
        <v>0.75</v>
      </c>
      <c r="P86" s="475">
        <v>0.75</v>
      </c>
      <c r="Q86" s="475">
        <v>0.75</v>
      </c>
      <c r="R86" s="475">
        <v>0.75</v>
      </c>
      <c r="S86" s="492">
        <v>0.75</v>
      </c>
      <c r="T86" s="475">
        <v>0.75</v>
      </c>
      <c r="U86" s="94"/>
    </row>
    <row r="87" spans="1:37" s="65" customFormat="1" ht="12" x14ac:dyDescent="0.2">
      <c r="B87" s="23"/>
      <c r="C87" s="23"/>
      <c r="U87" s="94"/>
    </row>
    <row r="88" spans="1:37" s="65" customFormat="1" ht="12" x14ac:dyDescent="0.2">
      <c r="B88" s="23"/>
      <c r="C88" s="23"/>
      <c r="U88" s="94"/>
    </row>
    <row r="89" spans="1:37" s="65" customFormat="1" ht="12" x14ac:dyDescent="0.2">
      <c r="A89" s="95"/>
      <c r="B89" s="96"/>
      <c r="C89" s="96"/>
      <c r="D89" s="96"/>
      <c r="E89" s="96"/>
      <c r="F89" s="96"/>
      <c r="G89" s="96"/>
      <c r="H89" s="96"/>
      <c r="I89" s="96"/>
      <c r="J89" s="96"/>
      <c r="K89" s="96"/>
      <c r="L89" s="96"/>
      <c r="M89" s="96"/>
      <c r="N89" s="96"/>
      <c r="O89" s="96"/>
      <c r="P89" s="96"/>
      <c r="Q89" s="96"/>
      <c r="R89" s="96"/>
      <c r="S89" s="96"/>
      <c r="T89" s="96"/>
      <c r="U89" s="94"/>
    </row>
    <row r="90" spans="1:37" s="65" customFormat="1" ht="12.75" thickBot="1" x14ac:dyDescent="0.25">
      <c r="A90" s="95"/>
      <c r="B90" s="96"/>
      <c r="C90" s="96"/>
      <c r="D90" s="96"/>
      <c r="E90" s="96"/>
      <c r="F90" s="96"/>
      <c r="G90" s="96"/>
      <c r="H90" s="96"/>
      <c r="I90" s="96"/>
      <c r="J90" s="96"/>
      <c r="K90" s="96"/>
      <c r="L90" s="96"/>
      <c r="M90" s="96"/>
      <c r="N90" s="96"/>
      <c r="O90" s="96"/>
      <c r="P90" s="96"/>
      <c r="Q90" s="96"/>
      <c r="R90" s="96"/>
      <c r="S90" s="96"/>
      <c r="T90" s="96"/>
      <c r="U90" s="94"/>
    </row>
    <row r="91" spans="1:37" s="5" customFormat="1" ht="12.75" thickBot="1" x14ac:dyDescent="0.25">
      <c r="A91" s="688" t="s">
        <v>150</v>
      </c>
      <c r="B91" s="689"/>
      <c r="C91" s="689"/>
      <c r="D91" s="689"/>
      <c r="E91" s="689"/>
      <c r="F91" s="689"/>
      <c r="G91" s="689"/>
      <c r="H91" s="689"/>
      <c r="I91" s="689"/>
      <c r="J91" s="689"/>
      <c r="K91" s="689"/>
      <c r="L91" s="689"/>
      <c r="M91" s="689"/>
      <c r="N91" s="689"/>
      <c r="O91" s="689"/>
      <c r="P91" s="689"/>
      <c r="Q91" s="689"/>
      <c r="R91" s="689"/>
      <c r="S91" s="689"/>
      <c r="T91" s="690"/>
      <c r="U91" s="99"/>
      <c r="V91" s="82"/>
      <c r="AA91" s="40"/>
      <c r="AB91" s="40"/>
      <c r="AC91" s="17"/>
      <c r="AD91" s="9"/>
      <c r="AE91" s="10"/>
      <c r="AF91" s="11"/>
    </row>
    <row r="92" spans="1:37" s="5" customFormat="1" ht="12" x14ac:dyDescent="0.2">
      <c r="A92" s="7" t="s">
        <v>151</v>
      </c>
      <c r="B92" s="8">
        <f>MIN(100,B94+$B$98)</f>
        <v>100</v>
      </c>
      <c r="C92" s="8">
        <f t="shared" ref="C92:S92" si="72">MIN(100,C94+$B$98)</f>
        <v>87.90360339398201</v>
      </c>
      <c r="D92" s="8">
        <f t="shared" si="72"/>
        <v>58.001642609668274</v>
      </c>
      <c r="E92" s="8">
        <f t="shared" si="72"/>
        <v>45.25654457045259</v>
      </c>
      <c r="F92" s="8">
        <f t="shared" si="72"/>
        <v>57.021250452805532</v>
      </c>
      <c r="G92" s="8">
        <f t="shared" si="72"/>
        <v>68.785956335158474</v>
      </c>
      <c r="H92" s="8">
        <f t="shared" si="72"/>
        <v>80.550662217511402</v>
      </c>
      <c r="I92" s="8">
        <f t="shared" si="72"/>
        <v>97.217328884178059</v>
      </c>
      <c r="J92" s="8">
        <f t="shared" si="72"/>
        <v>100</v>
      </c>
      <c r="K92" s="8">
        <f t="shared" si="72"/>
        <v>100</v>
      </c>
      <c r="L92" s="8">
        <f t="shared" si="72"/>
        <v>100</v>
      </c>
      <c r="M92" s="8">
        <f t="shared" si="72"/>
        <v>100</v>
      </c>
      <c r="N92" s="8">
        <f t="shared" si="72"/>
        <v>100</v>
      </c>
      <c r="O92" s="8">
        <f t="shared" si="72"/>
        <v>100</v>
      </c>
      <c r="P92" s="8">
        <f t="shared" si="72"/>
        <v>100</v>
      </c>
      <c r="Q92" s="8">
        <f t="shared" si="72"/>
        <v>100</v>
      </c>
      <c r="R92" s="8">
        <f t="shared" si="72"/>
        <v>100</v>
      </c>
      <c r="S92" s="8">
        <f t="shared" si="72"/>
        <v>100</v>
      </c>
      <c r="T92" s="66">
        <f>MIN(100,T94+$B$98)</f>
        <v>45.25654457045259</v>
      </c>
      <c r="U92" s="40"/>
      <c r="V92" s="82"/>
      <c r="AA92" s="40"/>
      <c r="AB92" s="40"/>
      <c r="AC92" s="17"/>
      <c r="AD92" s="9"/>
      <c r="AE92" s="10"/>
      <c r="AF92" s="10"/>
      <c r="AG92" s="15"/>
      <c r="AH92" s="15"/>
      <c r="AI92" s="10"/>
      <c r="AJ92" s="16"/>
      <c r="AK92" s="17"/>
    </row>
    <row r="93" spans="1:37" s="5" customFormat="1" ht="12" x14ac:dyDescent="0.2">
      <c r="A93" s="12" t="s">
        <v>152</v>
      </c>
      <c r="B93" s="13">
        <f>MIN(100,B94+$B$99)</f>
        <v>100</v>
      </c>
      <c r="C93" s="13">
        <f t="shared" ref="C93:S93" si="73">MIN(100,C94+$B$99)</f>
        <v>73.118468363657669</v>
      </c>
      <c r="D93" s="13">
        <f t="shared" si="73"/>
        <v>43.21650757934394</v>
      </c>
      <c r="E93" s="13">
        <f t="shared" si="73"/>
        <v>30.471409540128256</v>
      </c>
      <c r="F93" s="13">
        <f t="shared" si="73"/>
        <v>42.236115422481198</v>
      </c>
      <c r="G93" s="13">
        <f t="shared" si="73"/>
        <v>54.000821304834133</v>
      </c>
      <c r="H93" s="13">
        <f t="shared" si="73"/>
        <v>65.765527187187061</v>
      </c>
      <c r="I93" s="13">
        <f t="shared" si="73"/>
        <v>82.432193853853732</v>
      </c>
      <c r="J93" s="13">
        <f t="shared" si="73"/>
        <v>91.255723265618457</v>
      </c>
      <c r="K93" s="13">
        <f t="shared" si="73"/>
        <v>100</v>
      </c>
      <c r="L93" s="13">
        <f t="shared" si="73"/>
        <v>100</v>
      </c>
      <c r="M93" s="13">
        <f t="shared" si="73"/>
        <v>100</v>
      </c>
      <c r="N93" s="13">
        <f t="shared" si="73"/>
        <v>100</v>
      </c>
      <c r="O93" s="13">
        <f t="shared" si="73"/>
        <v>100</v>
      </c>
      <c r="P93" s="13">
        <f t="shared" si="73"/>
        <v>100</v>
      </c>
      <c r="Q93" s="13">
        <f t="shared" si="73"/>
        <v>100</v>
      </c>
      <c r="R93" s="13">
        <f t="shared" si="73"/>
        <v>100</v>
      </c>
      <c r="S93" s="13">
        <f t="shared" si="73"/>
        <v>100</v>
      </c>
      <c r="T93" s="14">
        <f>MIN(100,T94+$B$99)</f>
        <v>30.471409540128256</v>
      </c>
      <c r="U93" s="40"/>
      <c r="V93" s="97"/>
      <c r="AA93" s="41"/>
      <c r="AB93" s="41"/>
      <c r="AC93" s="17"/>
      <c r="AD93" s="9"/>
      <c r="AE93" s="10"/>
      <c r="AF93" s="10"/>
      <c r="AG93" s="15"/>
      <c r="AH93" s="15"/>
      <c r="AI93" s="10"/>
      <c r="AJ93" s="16"/>
      <c r="AK93" s="17"/>
    </row>
    <row r="94" spans="1:37" s="5" customFormat="1" ht="12" x14ac:dyDescent="0.2">
      <c r="A94" s="12" t="s">
        <v>153</v>
      </c>
      <c r="B94" s="18">
        <v>100</v>
      </c>
      <c r="C94" s="18">
        <v>58.333333333333336</v>
      </c>
      <c r="D94" s="18">
        <v>28.431372549019603</v>
      </c>
      <c r="E94" s="18">
        <v>15.686274509803921</v>
      </c>
      <c r="F94" s="18">
        <v>27.450980392156861</v>
      </c>
      <c r="G94" s="18">
        <v>39.2156862745098</v>
      </c>
      <c r="H94" s="18">
        <v>50.980392156862727</v>
      </c>
      <c r="I94" s="18">
        <v>67.647058823529392</v>
      </c>
      <c r="J94" s="18">
        <v>76.470588235294116</v>
      </c>
      <c r="K94" s="18">
        <v>85.29411764705884</v>
      </c>
      <c r="L94" s="18">
        <v>90.196078431372555</v>
      </c>
      <c r="M94" s="18">
        <v>100</v>
      </c>
      <c r="N94" s="18">
        <v>100</v>
      </c>
      <c r="O94" s="18">
        <v>100</v>
      </c>
      <c r="P94" s="18">
        <v>100</v>
      </c>
      <c r="Q94" s="18">
        <v>100</v>
      </c>
      <c r="R94" s="18">
        <v>100</v>
      </c>
      <c r="S94" s="18">
        <v>100</v>
      </c>
      <c r="T94" s="19">
        <f>MIN(B94:P94)</f>
        <v>15.686274509803921</v>
      </c>
      <c r="U94" s="41"/>
      <c r="V94" s="97"/>
      <c r="AA94" s="40"/>
      <c r="AB94" s="40"/>
      <c r="AC94" s="17"/>
      <c r="AD94" s="9"/>
      <c r="AE94" s="10"/>
      <c r="AF94" s="10"/>
      <c r="AG94" s="15"/>
      <c r="AH94" s="15"/>
      <c r="AI94" s="10"/>
      <c r="AJ94" s="16"/>
      <c r="AK94" s="17"/>
    </row>
    <row r="95" spans="1:37" s="5" customFormat="1" ht="12" x14ac:dyDescent="0.2">
      <c r="A95" s="12" t="s">
        <v>154</v>
      </c>
      <c r="B95" s="13">
        <f t="shared" ref="B95:T95" si="74">MIN(80,IF(B13="Deploy",80,MAX(0,B94-$B$99)))</f>
        <v>80</v>
      </c>
      <c r="C95" s="13">
        <f t="shared" si="74"/>
        <v>43.548198303009002</v>
      </c>
      <c r="D95" s="13">
        <f t="shared" si="74"/>
        <v>13.646237518695267</v>
      </c>
      <c r="E95" s="13">
        <f t="shared" si="74"/>
        <v>0.9011394794795855</v>
      </c>
      <c r="F95" s="13">
        <f t="shared" si="74"/>
        <v>12.665845361832526</v>
      </c>
      <c r="G95" s="13">
        <f t="shared" si="74"/>
        <v>24.430551244185466</v>
      </c>
      <c r="H95" s="13">
        <f t="shared" si="74"/>
        <v>36.195257126538394</v>
      </c>
      <c r="I95" s="13">
        <f t="shared" si="74"/>
        <v>52.861923793205058</v>
      </c>
      <c r="J95" s="13">
        <f t="shared" si="74"/>
        <v>61.685453204969782</v>
      </c>
      <c r="K95" s="13">
        <f t="shared" si="74"/>
        <v>70.5089826167345</v>
      </c>
      <c r="L95" s="13">
        <f t="shared" si="74"/>
        <v>75.410943401048215</v>
      </c>
      <c r="M95" s="13">
        <f t="shared" si="74"/>
        <v>80</v>
      </c>
      <c r="N95" s="13">
        <f t="shared" si="74"/>
        <v>80</v>
      </c>
      <c r="O95" s="13">
        <f t="shared" si="74"/>
        <v>80</v>
      </c>
      <c r="P95" s="13">
        <f t="shared" si="74"/>
        <v>80</v>
      </c>
      <c r="Q95" s="13">
        <f t="shared" si="74"/>
        <v>80</v>
      </c>
      <c r="R95" s="13">
        <f t="shared" si="74"/>
        <v>80</v>
      </c>
      <c r="S95" s="13">
        <f t="shared" si="74"/>
        <v>80</v>
      </c>
      <c r="T95" s="14">
        <f t="shared" si="74"/>
        <v>0.9011394794795855</v>
      </c>
      <c r="U95" s="40"/>
      <c r="V95" s="97"/>
      <c r="AA95" s="40"/>
      <c r="AB95" s="40"/>
      <c r="AC95" s="17"/>
      <c r="AD95" s="9"/>
      <c r="AE95" s="10"/>
      <c r="AF95" s="10"/>
      <c r="AG95" s="15"/>
      <c r="AH95" s="15"/>
      <c r="AI95" s="10"/>
      <c r="AJ95" s="16"/>
      <c r="AK95" s="17"/>
    </row>
    <row r="96" spans="1:37" s="5" customFormat="1" ht="12.75" thickBot="1" x14ac:dyDescent="0.25">
      <c r="A96" s="20" t="s">
        <v>155</v>
      </c>
      <c r="B96" s="21">
        <f t="shared" ref="B96:T96" si="75">MIN(60,IF(B13="Deploy",60,MAX(0,B94-$B$98)))</f>
        <v>60</v>
      </c>
      <c r="C96" s="21">
        <f t="shared" si="75"/>
        <v>28.763063272684665</v>
      </c>
      <c r="D96" s="21">
        <f t="shared" si="75"/>
        <v>0</v>
      </c>
      <c r="E96" s="21">
        <f t="shared" si="75"/>
        <v>0</v>
      </c>
      <c r="F96" s="21">
        <f t="shared" si="75"/>
        <v>0</v>
      </c>
      <c r="G96" s="21">
        <f t="shared" si="75"/>
        <v>9.6454162138611288</v>
      </c>
      <c r="H96" s="21">
        <f t="shared" si="75"/>
        <v>21.410122096214057</v>
      </c>
      <c r="I96" s="21">
        <f t="shared" si="75"/>
        <v>38.076788762880724</v>
      </c>
      <c r="J96" s="21">
        <f t="shared" si="75"/>
        <v>46.900318174645449</v>
      </c>
      <c r="K96" s="21">
        <f t="shared" si="75"/>
        <v>55.723847586410173</v>
      </c>
      <c r="L96" s="21">
        <f t="shared" si="75"/>
        <v>60</v>
      </c>
      <c r="M96" s="21">
        <f t="shared" si="75"/>
        <v>60</v>
      </c>
      <c r="N96" s="21">
        <f t="shared" si="75"/>
        <v>60</v>
      </c>
      <c r="O96" s="21">
        <f t="shared" si="75"/>
        <v>60</v>
      </c>
      <c r="P96" s="21">
        <f t="shared" si="75"/>
        <v>60</v>
      </c>
      <c r="Q96" s="21">
        <f t="shared" si="75"/>
        <v>60</v>
      </c>
      <c r="R96" s="21">
        <f t="shared" si="75"/>
        <v>60</v>
      </c>
      <c r="S96" s="21">
        <f t="shared" si="75"/>
        <v>60</v>
      </c>
      <c r="T96" s="22">
        <f t="shared" si="75"/>
        <v>0</v>
      </c>
      <c r="U96" s="40"/>
      <c r="V96" s="97"/>
      <c r="AA96" s="41"/>
      <c r="AB96" s="41"/>
      <c r="AC96" s="17"/>
      <c r="AD96" s="9"/>
      <c r="AE96" s="10"/>
      <c r="AF96" s="10"/>
      <c r="AG96" s="15"/>
      <c r="AH96" s="15"/>
      <c r="AI96" s="10"/>
      <c r="AJ96" s="16"/>
      <c r="AK96" s="17"/>
    </row>
    <row r="97" spans="1:37" s="5" customFormat="1" ht="12.75" thickBot="1" x14ac:dyDescent="0.25">
      <c r="A97" s="292" t="s">
        <v>156</v>
      </c>
      <c r="B97" s="289">
        <v>100</v>
      </c>
      <c r="C97" s="289">
        <v>58.333333333333336</v>
      </c>
      <c r="D97" s="289">
        <v>28.431372549019603</v>
      </c>
      <c r="E97" s="289">
        <v>15.686274509803921</v>
      </c>
      <c r="F97" s="289">
        <v>27.450980392156861</v>
      </c>
      <c r="G97" s="289">
        <v>39.2156862745098</v>
      </c>
      <c r="H97" s="289">
        <v>50.980392156862727</v>
      </c>
      <c r="I97" s="289">
        <v>67.647058823529392</v>
      </c>
      <c r="J97" s="289">
        <v>76.470588235294116</v>
      </c>
      <c r="K97" s="289">
        <v>85.29411764705884</v>
      </c>
      <c r="L97" s="289">
        <v>90.196078431372555</v>
      </c>
      <c r="M97" s="289">
        <v>100</v>
      </c>
      <c r="N97" s="289">
        <v>100</v>
      </c>
      <c r="O97" s="289">
        <v>100</v>
      </c>
      <c r="P97" s="289">
        <v>100</v>
      </c>
      <c r="Q97" s="289">
        <v>100</v>
      </c>
      <c r="R97" s="289">
        <v>100</v>
      </c>
      <c r="S97" s="289">
        <v>100</v>
      </c>
      <c r="T97" s="291">
        <f>MIN(B97:P97)</f>
        <v>15.686274509803921</v>
      </c>
      <c r="U97" s="41"/>
      <c r="V97" s="97"/>
      <c r="AA97" s="17"/>
      <c r="AB97" s="17"/>
      <c r="AC97" s="17"/>
      <c r="AD97" s="17"/>
      <c r="AF97" s="10"/>
      <c r="AG97" s="15"/>
      <c r="AH97" s="15"/>
      <c r="AI97" s="10"/>
      <c r="AJ97" s="16"/>
      <c r="AK97" s="17"/>
    </row>
    <row r="98" spans="1:37" s="5" customFormat="1" ht="12" x14ac:dyDescent="0.2">
      <c r="A98" s="100" t="s">
        <v>157</v>
      </c>
      <c r="B98" s="101">
        <f t="array" ref="B98">SQRT(SUM(POWER(AVERAGE(B94:P94)-(B94:P94),2))/COUNT(B94:P94))*1</f>
        <v>29.570270060648671</v>
      </c>
      <c r="U98" s="17"/>
      <c r="V98" s="97"/>
      <c r="AA98" s="17"/>
      <c r="AB98" s="17"/>
      <c r="AC98" s="17"/>
      <c r="AD98" s="17"/>
    </row>
    <row r="99" spans="1:37" s="5" customFormat="1" ht="12.75" thickBot="1" x14ac:dyDescent="0.25">
      <c r="A99" s="37" t="s">
        <v>158</v>
      </c>
      <c r="B99" s="102">
        <f>B98/2</f>
        <v>14.785135030324335</v>
      </c>
      <c r="U99" s="17"/>
      <c r="V99" s="97"/>
      <c r="AA99" s="23"/>
      <c r="AB99" s="23"/>
      <c r="AC99" s="23"/>
    </row>
    <row r="100" spans="1:37" s="5" customFormat="1" ht="12.75" thickBot="1" x14ac:dyDescent="0.25">
      <c r="A100" s="23"/>
      <c r="B100" s="23"/>
      <c r="C100" s="17"/>
      <c r="J100" s="23"/>
      <c r="K100" s="23"/>
      <c r="L100" s="23"/>
      <c r="M100" s="23"/>
      <c r="N100" s="23"/>
      <c r="O100" s="23"/>
      <c r="P100" s="23"/>
      <c r="Q100" s="23"/>
      <c r="R100" s="23"/>
      <c r="S100" s="23"/>
      <c r="T100" s="23"/>
      <c r="U100" s="23"/>
      <c r="V100" s="97"/>
      <c r="AE100" s="15"/>
    </row>
    <row r="101" spans="1:37" s="5" customFormat="1" ht="12.75" thickBot="1" x14ac:dyDescent="0.25">
      <c r="A101" s="685" t="s">
        <v>159</v>
      </c>
      <c r="B101" s="686"/>
      <c r="D101" s="691" t="s">
        <v>160</v>
      </c>
      <c r="E101" s="692"/>
      <c r="F101" s="692"/>
      <c r="G101" s="692"/>
      <c r="H101" s="692"/>
      <c r="I101" s="693"/>
      <c r="K101" s="114" t="s">
        <v>161</v>
      </c>
      <c r="L101" s="671" t="s">
        <v>226</v>
      </c>
      <c r="M101" s="671"/>
      <c r="V101" s="97"/>
      <c r="AE101" s="15"/>
    </row>
    <row r="102" spans="1:37" s="5" customFormat="1" ht="12.75" thickBot="1" x14ac:dyDescent="0.25">
      <c r="A102" s="694" t="s">
        <v>163</v>
      </c>
      <c r="B102" s="695"/>
      <c r="D102" s="147"/>
      <c r="E102" s="148"/>
      <c r="F102" s="149" t="s">
        <v>164</v>
      </c>
      <c r="G102" s="150" t="s">
        <v>165</v>
      </c>
      <c r="H102" s="151" t="s">
        <v>166</v>
      </c>
      <c r="I102" s="152" t="s">
        <v>167</v>
      </c>
      <c r="U102" s="114"/>
      <c r="V102" s="97"/>
    </row>
    <row r="103" spans="1:37" s="5" customFormat="1" ht="12" x14ac:dyDescent="0.2">
      <c r="A103" s="24" t="s">
        <v>123</v>
      </c>
      <c r="B103" s="25">
        <v>27</v>
      </c>
      <c r="D103" s="143"/>
      <c r="E103" s="119"/>
      <c r="F103" s="120" t="s">
        <v>227</v>
      </c>
      <c r="G103" s="153">
        <v>24</v>
      </c>
      <c r="H103" s="153">
        <v>22</v>
      </c>
      <c r="I103" s="154">
        <v>20</v>
      </c>
      <c r="U103" s="114"/>
      <c r="V103" s="97"/>
    </row>
    <row r="104" spans="1:37" s="5" customFormat="1" ht="12.75" thickBot="1" x14ac:dyDescent="0.25">
      <c r="A104" s="26" t="s">
        <v>124</v>
      </c>
      <c r="B104" s="27">
        <v>22</v>
      </c>
      <c r="D104" s="144"/>
      <c r="E104" s="141"/>
      <c r="F104" s="142" t="s">
        <v>228</v>
      </c>
      <c r="G104" s="155">
        <v>12</v>
      </c>
      <c r="H104" s="155">
        <v>11</v>
      </c>
      <c r="I104" s="156">
        <v>10</v>
      </c>
      <c r="U104" s="114"/>
      <c r="V104" s="97"/>
    </row>
    <row r="105" spans="1:37" s="5" customFormat="1" ht="12" x14ac:dyDescent="0.2">
      <c r="A105" s="26" t="s">
        <v>204</v>
      </c>
      <c r="B105" s="28">
        <v>2</v>
      </c>
      <c r="D105" s="145"/>
      <c r="E105" s="138"/>
      <c r="F105" s="139" t="str">
        <f>A106</f>
        <v>&gt;= ACTC L3 Pilots</v>
      </c>
      <c r="G105" s="157">
        <v>0.4</v>
      </c>
      <c r="H105" s="157">
        <v>0.33</v>
      </c>
      <c r="I105" s="158">
        <v>0.26</v>
      </c>
      <c r="U105" s="114"/>
      <c r="V105" s="97"/>
    </row>
    <row r="106" spans="1:37" s="5" customFormat="1" ht="12" x14ac:dyDescent="0.2">
      <c r="A106" s="26" t="s">
        <v>205</v>
      </c>
      <c r="B106" s="28">
        <v>3</v>
      </c>
      <c r="D106" s="143"/>
      <c r="E106" s="140"/>
      <c r="F106" s="121" t="str">
        <f>A107</f>
        <v>&gt;= ACTC L2 Pilots</v>
      </c>
      <c r="G106" s="159">
        <v>0.8</v>
      </c>
      <c r="H106" s="159">
        <v>0.66</v>
      </c>
      <c r="I106" s="160">
        <v>0.53</v>
      </c>
      <c r="U106" s="114"/>
      <c r="V106" s="97"/>
    </row>
    <row r="107" spans="1:37" s="5" customFormat="1" ht="12" x14ac:dyDescent="0.2">
      <c r="A107" s="26" t="s">
        <v>206</v>
      </c>
      <c r="B107" s="28">
        <v>6</v>
      </c>
      <c r="D107" s="143"/>
      <c r="E107" s="140"/>
      <c r="F107" s="121" t="str">
        <f>A111</f>
        <v>&gt;= ACTC L3 NFO</v>
      </c>
      <c r="G107" s="159">
        <v>0.53</v>
      </c>
      <c r="H107" s="159">
        <v>0.46</v>
      </c>
      <c r="I107" s="160">
        <v>0.38</v>
      </c>
      <c r="U107" s="114"/>
      <c r="V107" s="97"/>
    </row>
    <row r="108" spans="1:37" s="5" customFormat="1" ht="12" x14ac:dyDescent="0.2">
      <c r="A108" s="26" t="s">
        <v>129</v>
      </c>
      <c r="B108" s="28">
        <v>18</v>
      </c>
      <c r="D108" s="143"/>
      <c r="E108" s="140"/>
      <c r="F108" s="121" t="str">
        <f>A112</f>
        <v>&gt;= ACTC L1 NFO</v>
      </c>
      <c r="G108" s="159">
        <v>1</v>
      </c>
      <c r="H108" s="159">
        <v>0.83</v>
      </c>
      <c r="I108" s="160">
        <v>0.66</v>
      </c>
      <c r="U108" s="114"/>
      <c r="V108" s="97"/>
    </row>
    <row r="109" spans="1:37" s="5" customFormat="1" ht="12" x14ac:dyDescent="0.2">
      <c r="A109" s="26" t="s">
        <v>130</v>
      </c>
      <c r="B109" s="28">
        <v>16</v>
      </c>
      <c r="D109" s="143"/>
      <c r="E109" s="140"/>
      <c r="F109" s="121" t="str">
        <f>A116</f>
        <v>&gt;= ACTC L3 FE</v>
      </c>
      <c r="G109" s="159">
        <v>0.53</v>
      </c>
      <c r="H109" s="159">
        <v>0.46</v>
      </c>
      <c r="I109" s="160">
        <v>0.38</v>
      </c>
      <c r="U109" s="114"/>
      <c r="V109" s="97"/>
    </row>
    <row r="110" spans="1:37" s="5" customFormat="1" ht="12" x14ac:dyDescent="0.2">
      <c r="A110" s="26" t="s">
        <v>207</v>
      </c>
      <c r="B110" s="28">
        <v>2</v>
      </c>
      <c r="D110" s="143"/>
      <c r="E110" s="140"/>
      <c r="F110" s="121" t="str">
        <f>A117</f>
        <v>&gt;= ACTC L1 FE</v>
      </c>
      <c r="G110" s="159">
        <v>0.9</v>
      </c>
      <c r="H110" s="159">
        <v>0.83</v>
      </c>
      <c r="I110" s="160">
        <v>0.66</v>
      </c>
      <c r="U110" s="114"/>
      <c r="V110" s="97"/>
    </row>
    <row r="111" spans="1:37" s="5" customFormat="1" ht="12" x14ac:dyDescent="0.2">
      <c r="A111" s="26" t="s">
        <v>208</v>
      </c>
      <c r="B111" s="28">
        <v>3</v>
      </c>
      <c r="D111" s="143"/>
      <c r="E111" s="140"/>
      <c r="F111" s="121" t="str">
        <f>A121</f>
        <v>&gt;= ACTC L3 AW</v>
      </c>
      <c r="G111" s="159">
        <v>0.53</v>
      </c>
      <c r="H111" s="159">
        <v>0.46</v>
      </c>
      <c r="I111" s="160">
        <v>0.38</v>
      </c>
      <c r="U111" s="114"/>
      <c r="V111" s="97"/>
      <c r="AB111" s="11"/>
      <c r="AC111" s="11"/>
      <c r="AD111" s="9"/>
      <c r="AE111" s="10"/>
      <c r="AF111" s="15"/>
      <c r="AG111" s="15"/>
    </row>
    <row r="112" spans="1:37" s="5" customFormat="1" ht="12" x14ac:dyDescent="0.2">
      <c r="A112" s="26" t="s">
        <v>209</v>
      </c>
      <c r="B112" s="28">
        <v>6</v>
      </c>
      <c r="D112" s="143"/>
      <c r="E112" s="140"/>
      <c r="F112" s="121" t="str">
        <f>A122</f>
        <v>&gt;= ACTC L1 AW</v>
      </c>
      <c r="G112" s="159">
        <v>0.9</v>
      </c>
      <c r="H112" s="159">
        <v>0.83</v>
      </c>
      <c r="I112" s="160">
        <v>0.66</v>
      </c>
      <c r="U112" s="114"/>
      <c r="V112" s="97"/>
    </row>
    <row r="113" spans="1:30" s="5" customFormat="1" ht="12" x14ac:dyDescent="0.2">
      <c r="A113" s="26" t="s">
        <v>210</v>
      </c>
      <c r="B113" s="28">
        <v>18</v>
      </c>
      <c r="D113" s="143"/>
      <c r="E113" s="140"/>
      <c r="F113" s="121" t="str">
        <f>A126</f>
        <v>&gt;= ACTC L3 EW</v>
      </c>
      <c r="G113" s="159">
        <v>0.85</v>
      </c>
      <c r="H113" s="159">
        <v>0.7</v>
      </c>
      <c r="I113" s="160">
        <v>0.55000000000000004</v>
      </c>
      <c r="U113" s="114"/>
      <c r="V113" s="97"/>
    </row>
    <row r="114" spans="1:30" s="5" customFormat="1" ht="12" x14ac:dyDescent="0.2">
      <c r="A114" s="26" t="s">
        <v>211</v>
      </c>
      <c r="B114" s="28">
        <v>16</v>
      </c>
      <c r="D114" s="143"/>
      <c r="E114" s="140"/>
      <c r="F114" s="121" t="str">
        <f>A127</f>
        <v>&gt;= ACTC L1 EW</v>
      </c>
      <c r="G114" s="159">
        <v>1</v>
      </c>
      <c r="H114" s="159">
        <v>0.83</v>
      </c>
      <c r="I114" s="160">
        <v>0.66</v>
      </c>
      <c r="U114" s="114"/>
      <c r="V114" s="97"/>
    </row>
    <row r="115" spans="1:30" s="5" customFormat="1" ht="12" x14ac:dyDescent="0.2">
      <c r="A115" s="26" t="s">
        <v>212</v>
      </c>
      <c r="B115" s="28">
        <v>2</v>
      </c>
      <c r="D115" s="143"/>
      <c r="E115" s="140"/>
      <c r="F115" s="121" t="str">
        <f>A131</f>
        <v>&gt;= ACTC L3 IFT</v>
      </c>
      <c r="G115" s="159">
        <v>0.85</v>
      </c>
      <c r="H115" s="159">
        <v>0.7</v>
      </c>
      <c r="I115" s="160">
        <v>0.55000000000000004</v>
      </c>
      <c r="U115" s="114"/>
      <c r="V115" s="97"/>
    </row>
    <row r="116" spans="1:30" s="5" customFormat="1" ht="12.75" thickBot="1" x14ac:dyDescent="0.25">
      <c r="A116" s="26" t="s">
        <v>213</v>
      </c>
      <c r="B116" s="28">
        <v>3</v>
      </c>
      <c r="D116" s="144"/>
      <c r="E116" s="146"/>
      <c r="F116" s="122" t="str">
        <f>A132</f>
        <v>&gt;= ACTC L1 IFT</v>
      </c>
      <c r="G116" s="161">
        <v>1</v>
      </c>
      <c r="H116" s="161">
        <v>0.83</v>
      </c>
      <c r="I116" s="162">
        <v>0.66</v>
      </c>
      <c r="U116" s="114"/>
      <c r="V116" s="97"/>
    </row>
    <row r="117" spans="1:30" s="65" customFormat="1" ht="12" x14ac:dyDescent="0.2">
      <c r="A117" s="26" t="s">
        <v>214</v>
      </c>
      <c r="B117" s="28">
        <v>6</v>
      </c>
      <c r="C117" s="5"/>
      <c r="D117" s="5"/>
      <c r="E117" s="5"/>
      <c r="F117" s="5"/>
      <c r="G117" s="5"/>
      <c r="H117" s="5"/>
      <c r="I117" s="5"/>
      <c r="J117" s="5"/>
      <c r="K117" s="5"/>
      <c r="L117" s="5"/>
      <c r="M117" s="5"/>
      <c r="N117" s="5"/>
      <c r="O117" s="5"/>
      <c r="P117" s="5"/>
      <c r="Q117" s="5"/>
      <c r="R117" s="5"/>
      <c r="S117" s="5"/>
      <c r="T117" s="5"/>
      <c r="U117" s="114"/>
      <c r="V117" s="97"/>
      <c r="W117" s="5"/>
      <c r="X117" s="5"/>
    </row>
    <row r="118" spans="1:30" s="65" customFormat="1" ht="12" x14ac:dyDescent="0.2">
      <c r="A118" s="26" t="s">
        <v>134</v>
      </c>
      <c r="B118" s="28">
        <v>18</v>
      </c>
      <c r="C118" s="5"/>
      <c r="E118" s="11"/>
      <c r="F118" s="11"/>
      <c r="G118" s="93"/>
      <c r="H118" s="93"/>
      <c r="I118" s="93"/>
      <c r="J118" s="5"/>
      <c r="K118" s="5"/>
      <c r="L118" s="5"/>
      <c r="M118" s="5"/>
      <c r="N118" s="5"/>
      <c r="O118" s="5"/>
      <c r="P118" s="5"/>
      <c r="Q118" s="5"/>
      <c r="R118" s="5"/>
      <c r="S118" s="5"/>
      <c r="T118" s="5"/>
      <c r="U118" s="64"/>
      <c r="Y118" s="80"/>
      <c r="Z118" s="80"/>
      <c r="AA118" s="80"/>
      <c r="AB118" s="80"/>
      <c r="AC118" s="80"/>
      <c r="AD118" s="80"/>
    </row>
    <row r="119" spans="1:30" s="5" customFormat="1" ht="12" x14ac:dyDescent="0.2">
      <c r="A119" s="26" t="s">
        <v>135</v>
      </c>
      <c r="B119" s="28">
        <v>16</v>
      </c>
      <c r="D119" s="65"/>
      <c r="E119" s="11"/>
      <c r="F119" s="11"/>
      <c r="G119" s="93"/>
      <c r="H119" s="93"/>
      <c r="I119" s="93"/>
      <c r="U119" s="93"/>
      <c r="V119" s="80"/>
      <c r="W119" s="80"/>
      <c r="X119" s="80"/>
      <c r="Y119" s="17"/>
      <c r="Z119" s="17"/>
      <c r="AA119" s="17"/>
      <c r="AB119" s="17"/>
      <c r="AC119" s="17"/>
      <c r="AD119" s="17"/>
    </row>
    <row r="120" spans="1:30" s="5" customFormat="1" ht="12" x14ac:dyDescent="0.2">
      <c r="A120" s="26" t="s">
        <v>215</v>
      </c>
      <c r="B120" s="28">
        <v>2</v>
      </c>
      <c r="E120" s="11"/>
      <c r="F120" s="11"/>
      <c r="G120" s="11"/>
      <c r="H120" s="11"/>
      <c r="I120" s="11"/>
      <c r="U120" s="17"/>
      <c r="V120" s="17"/>
      <c r="W120" s="17"/>
      <c r="X120" s="17"/>
      <c r="Y120" s="36"/>
      <c r="Z120" s="36"/>
      <c r="AA120" s="36"/>
      <c r="AB120" s="36"/>
      <c r="AC120" s="36"/>
      <c r="AD120" s="17"/>
    </row>
    <row r="121" spans="1:30" s="5" customFormat="1" ht="12" x14ac:dyDescent="0.2">
      <c r="A121" s="26" t="s">
        <v>216</v>
      </c>
      <c r="B121" s="28">
        <v>3</v>
      </c>
      <c r="U121" s="36"/>
      <c r="V121" s="36"/>
      <c r="W121" s="36"/>
      <c r="X121" s="36"/>
      <c r="Y121" s="36"/>
      <c r="Z121" s="36"/>
      <c r="AA121" s="36"/>
      <c r="AB121" s="36"/>
      <c r="AC121" s="36"/>
      <c r="AD121" s="17"/>
    </row>
    <row r="122" spans="1:30" s="65" customFormat="1" ht="12" x14ac:dyDescent="0.2">
      <c r="A122" s="26" t="s">
        <v>217</v>
      </c>
      <c r="B122" s="28">
        <v>6</v>
      </c>
      <c r="C122" s="5"/>
      <c r="D122" s="5"/>
      <c r="E122" s="5"/>
      <c r="F122" s="5"/>
      <c r="G122" s="5"/>
      <c r="H122" s="5"/>
      <c r="I122" s="5"/>
      <c r="J122" s="5"/>
      <c r="K122" s="5"/>
      <c r="L122" s="5"/>
      <c r="M122" s="5"/>
      <c r="N122" s="5"/>
      <c r="O122" s="5"/>
      <c r="P122" s="5"/>
      <c r="Q122" s="5"/>
      <c r="R122" s="5"/>
      <c r="S122" s="5"/>
      <c r="T122" s="5"/>
      <c r="U122" s="36"/>
      <c r="V122" s="36"/>
      <c r="W122" s="36"/>
      <c r="X122" s="36"/>
      <c r="Y122" s="80"/>
      <c r="Z122" s="80"/>
      <c r="AA122" s="80"/>
      <c r="AB122" s="80"/>
      <c r="AC122" s="80"/>
      <c r="AD122" s="80"/>
    </row>
    <row r="123" spans="1:30" s="65" customFormat="1" ht="12" x14ac:dyDescent="0.2">
      <c r="A123" s="26" t="s">
        <v>139</v>
      </c>
      <c r="B123" s="28">
        <v>9</v>
      </c>
      <c r="C123" s="5"/>
      <c r="E123" s="11"/>
      <c r="F123" s="11"/>
      <c r="G123" s="93"/>
      <c r="H123" s="93"/>
      <c r="I123" s="93"/>
      <c r="J123" s="5"/>
      <c r="K123" s="5"/>
      <c r="L123" s="5"/>
      <c r="M123" s="5"/>
      <c r="N123" s="5"/>
      <c r="O123" s="5"/>
      <c r="P123" s="5"/>
      <c r="Q123" s="5"/>
      <c r="R123" s="5"/>
      <c r="S123" s="5"/>
      <c r="T123" s="5"/>
      <c r="U123" s="80"/>
      <c r="V123" s="80"/>
      <c r="W123" s="80"/>
      <c r="X123" s="80"/>
      <c r="Y123" s="80"/>
      <c r="Z123" s="80"/>
      <c r="AA123" s="80"/>
      <c r="AB123" s="80"/>
      <c r="AC123" s="80"/>
      <c r="AD123" s="80"/>
    </row>
    <row r="124" spans="1:30" s="65" customFormat="1" ht="12" x14ac:dyDescent="0.2">
      <c r="A124" s="26" t="s">
        <v>140</v>
      </c>
      <c r="B124" s="28">
        <v>8</v>
      </c>
      <c r="C124" s="5"/>
      <c r="E124" s="11"/>
      <c r="F124" s="80"/>
      <c r="G124" s="80"/>
      <c r="H124" s="80"/>
      <c r="I124" s="80"/>
      <c r="J124" s="5"/>
      <c r="K124" s="5"/>
      <c r="L124" s="5"/>
      <c r="M124" s="5"/>
      <c r="N124" s="5"/>
      <c r="O124" s="5"/>
      <c r="P124" s="5"/>
      <c r="Q124" s="5"/>
      <c r="R124" s="5"/>
      <c r="S124" s="5"/>
      <c r="T124" s="5"/>
      <c r="U124" s="80"/>
      <c r="V124" s="80"/>
      <c r="W124" s="80"/>
      <c r="X124" s="80"/>
    </row>
    <row r="125" spans="1:30" s="65" customFormat="1" ht="12" x14ac:dyDescent="0.2">
      <c r="A125" s="26" t="s">
        <v>218</v>
      </c>
      <c r="B125" s="28">
        <v>1</v>
      </c>
      <c r="C125" s="5"/>
      <c r="E125" s="11"/>
      <c r="F125" s="80"/>
      <c r="G125" s="80"/>
      <c r="H125" s="80"/>
      <c r="I125" s="80"/>
      <c r="J125" s="5"/>
      <c r="K125" s="5"/>
      <c r="L125" s="5"/>
      <c r="M125" s="5"/>
      <c r="N125" s="5"/>
      <c r="O125" s="5"/>
      <c r="P125" s="5"/>
      <c r="Q125" s="5"/>
      <c r="R125" s="5"/>
      <c r="S125" s="5"/>
      <c r="T125" s="5"/>
    </row>
    <row r="126" spans="1:30" s="65" customFormat="1" ht="12" x14ac:dyDescent="0.2">
      <c r="A126" s="26" t="s">
        <v>219</v>
      </c>
      <c r="B126" s="29">
        <v>2</v>
      </c>
      <c r="C126" s="5"/>
      <c r="J126" s="5"/>
      <c r="K126" s="5"/>
      <c r="L126" s="5"/>
      <c r="M126" s="5"/>
      <c r="N126" s="5"/>
      <c r="O126" s="5"/>
      <c r="P126" s="5"/>
      <c r="Q126" s="5"/>
      <c r="R126" s="5"/>
      <c r="S126" s="5"/>
      <c r="T126" s="5"/>
    </row>
    <row r="127" spans="1:30" s="65" customFormat="1" ht="12" x14ac:dyDescent="0.2">
      <c r="A127" s="112" t="s">
        <v>220</v>
      </c>
      <c r="B127" s="113">
        <v>3</v>
      </c>
      <c r="C127" s="5"/>
      <c r="J127" s="5"/>
      <c r="K127" s="5"/>
      <c r="L127" s="5"/>
      <c r="M127" s="5"/>
      <c r="N127" s="5"/>
      <c r="O127" s="5"/>
      <c r="P127" s="5"/>
      <c r="Q127" s="5"/>
      <c r="R127" s="5"/>
      <c r="S127" s="5"/>
      <c r="T127" s="5"/>
    </row>
    <row r="128" spans="1:30" s="65" customFormat="1" ht="12" x14ac:dyDescent="0.2">
      <c r="A128" s="112" t="s">
        <v>221</v>
      </c>
      <c r="B128" s="113">
        <v>9</v>
      </c>
      <c r="C128" s="5"/>
      <c r="E128" s="11"/>
      <c r="F128" s="80"/>
      <c r="G128" s="80"/>
      <c r="H128" s="80"/>
      <c r="I128" s="80"/>
      <c r="J128" s="5"/>
      <c r="K128" s="5"/>
      <c r="L128" s="5"/>
      <c r="M128" s="5"/>
      <c r="N128" s="5"/>
      <c r="O128" s="5"/>
      <c r="P128" s="5"/>
      <c r="Q128" s="5"/>
      <c r="R128" s="5"/>
      <c r="S128" s="5"/>
      <c r="T128" s="5"/>
    </row>
    <row r="129" spans="1:20" s="65" customFormat="1" ht="12" x14ac:dyDescent="0.2">
      <c r="A129" s="112" t="s">
        <v>222</v>
      </c>
      <c r="B129" s="113">
        <v>8</v>
      </c>
      <c r="C129" s="5"/>
      <c r="E129" s="11"/>
      <c r="F129" s="80"/>
      <c r="G129" s="80"/>
      <c r="H129" s="80"/>
      <c r="I129" s="80"/>
      <c r="J129" s="5"/>
      <c r="K129" s="5"/>
      <c r="L129" s="5"/>
      <c r="M129" s="5"/>
      <c r="N129" s="5"/>
      <c r="O129" s="5"/>
      <c r="P129" s="5"/>
      <c r="Q129" s="5"/>
      <c r="R129" s="5"/>
      <c r="S129" s="5"/>
      <c r="T129" s="5"/>
    </row>
    <row r="130" spans="1:20" s="65" customFormat="1" ht="12" x14ac:dyDescent="0.2">
      <c r="A130" s="112" t="s">
        <v>223</v>
      </c>
      <c r="B130" s="113">
        <v>1</v>
      </c>
      <c r="C130" s="5"/>
      <c r="E130" s="11"/>
      <c r="F130" s="11"/>
      <c r="G130" s="11"/>
      <c r="H130" s="11"/>
      <c r="I130" s="11"/>
      <c r="J130" s="5"/>
      <c r="K130" s="5"/>
      <c r="L130" s="5"/>
      <c r="M130" s="5"/>
      <c r="N130" s="5"/>
      <c r="O130" s="5"/>
      <c r="P130" s="5"/>
      <c r="Q130" s="5"/>
      <c r="R130" s="5"/>
      <c r="S130" s="5"/>
      <c r="T130" s="5"/>
    </row>
    <row r="131" spans="1:20" s="65" customFormat="1" ht="12" x14ac:dyDescent="0.2">
      <c r="A131" s="112" t="s">
        <v>224</v>
      </c>
      <c r="B131" s="113">
        <v>2</v>
      </c>
      <c r="C131" s="5"/>
      <c r="J131" s="5"/>
      <c r="K131" s="5"/>
      <c r="L131" s="5"/>
      <c r="M131" s="5"/>
      <c r="N131" s="5"/>
      <c r="O131" s="5"/>
      <c r="P131" s="5"/>
      <c r="Q131" s="5"/>
      <c r="R131" s="5"/>
      <c r="S131" s="5"/>
      <c r="T131" s="5"/>
    </row>
    <row r="132" spans="1:20" s="65" customFormat="1" ht="12" x14ac:dyDescent="0.2">
      <c r="A132" s="112" t="s">
        <v>225</v>
      </c>
      <c r="B132" s="113">
        <v>3</v>
      </c>
      <c r="C132" s="5"/>
      <c r="J132" s="5"/>
      <c r="K132" s="5"/>
      <c r="L132" s="5"/>
      <c r="M132" s="5"/>
      <c r="N132" s="5"/>
      <c r="O132" s="5"/>
      <c r="P132" s="5"/>
      <c r="Q132" s="5"/>
      <c r="R132" s="5"/>
      <c r="S132" s="5"/>
      <c r="T132" s="5"/>
    </row>
    <row r="133" spans="1:20" s="65" customFormat="1" ht="12" x14ac:dyDescent="0.2">
      <c r="A133" s="112" t="s">
        <v>229</v>
      </c>
      <c r="B133" s="113">
        <v>9</v>
      </c>
      <c r="C133" s="5"/>
      <c r="J133" s="5"/>
      <c r="K133" s="5"/>
      <c r="L133" s="5"/>
      <c r="M133" s="5"/>
      <c r="N133" s="5"/>
      <c r="O133" s="5"/>
      <c r="P133" s="5"/>
      <c r="Q133" s="5"/>
      <c r="R133" s="5"/>
      <c r="S133" s="5"/>
      <c r="T133" s="5"/>
    </row>
    <row r="134" spans="1:20" s="65" customFormat="1" ht="12.75" thickBot="1" x14ac:dyDescent="0.25">
      <c r="A134" s="30" t="s">
        <v>230</v>
      </c>
      <c r="B134" s="31">
        <v>3</v>
      </c>
      <c r="C134" s="5"/>
      <c r="D134" s="5"/>
      <c r="E134" s="5"/>
      <c r="F134" s="5"/>
      <c r="G134" s="5"/>
      <c r="H134" s="5"/>
      <c r="I134" s="5"/>
      <c r="J134" s="5"/>
      <c r="K134" s="5"/>
      <c r="L134" s="5"/>
      <c r="M134" s="5"/>
      <c r="N134" s="5"/>
      <c r="O134" s="5"/>
      <c r="P134" s="5"/>
      <c r="Q134" s="5"/>
      <c r="R134" s="5"/>
      <c r="S134" s="5"/>
      <c r="T134" s="5"/>
    </row>
    <row r="135" spans="1:20" s="65" customFormat="1" ht="12.75" thickBot="1" x14ac:dyDescent="0.25">
      <c r="A135" s="103"/>
    </row>
    <row r="136" spans="1:20" s="65" customFormat="1" ht="12.75" thickBot="1" x14ac:dyDescent="0.25">
      <c r="A136" s="685" t="s">
        <v>171</v>
      </c>
      <c r="B136" s="686"/>
      <c r="C136" s="5"/>
      <c r="D136" s="5"/>
      <c r="E136" s="5"/>
      <c r="F136" s="5"/>
      <c r="G136" s="5"/>
      <c r="H136" s="5"/>
      <c r="I136" s="5"/>
      <c r="J136" s="5"/>
      <c r="K136" s="5"/>
      <c r="L136" s="5"/>
      <c r="M136" s="5"/>
      <c r="N136" s="5"/>
      <c r="O136" s="5"/>
      <c r="P136" s="5"/>
      <c r="Q136" s="5"/>
      <c r="R136" s="5"/>
      <c r="S136" s="5"/>
      <c r="T136" s="5"/>
    </row>
    <row r="137" spans="1:20" s="65" customFormat="1" ht="12" x14ac:dyDescent="0.2">
      <c r="A137" s="34" t="s">
        <v>172</v>
      </c>
      <c r="B137" s="35" t="s">
        <v>173</v>
      </c>
      <c r="C137" s="35" t="s">
        <v>173</v>
      </c>
      <c r="D137" s="35" t="s">
        <v>173</v>
      </c>
      <c r="E137" s="35" t="s">
        <v>173</v>
      </c>
      <c r="F137" s="35" t="s">
        <v>173</v>
      </c>
      <c r="G137" s="35" t="s">
        <v>173</v>
      </c>
      <c r="H137" s="35" t="s">
        <v>173</v>
      </c>
      <c r="I137" s="35" t="s">
        <v>173</v>
      </c>
      <c r="J137" s="35" t="s">
        <v>173</v>
      </c>
      <c r="K137" s="35" t="s">
        <v>173</v>
      </c>
      <c r="L137" s="35" t="s">
        <v>173</v>
      </c>
      <c r="M137" s="35" t="s">
        <v>173</v>
      </c>
      <c r="N137" s="35"/>
      <c r="O137" s="35"/>
      <c r="P137" s="35"/>
      <c r="Q137" s="445"/>
      <c r="R137" s="445"/>
      <c r="S137" s="445"/>
      <c r="T137" s="32" t="s">
        <v>173</v>
      </c>
    </row>
    <row r="138" spans="1:20" s="65" customFormat="1" ht="12.75" thickBot="1" x14ac:dyDescent="0.25">
      <c r="A138" s="37" t="s">
        <v>174</v>
      </c>
      <c r="B138" s="38"/>
      <c r="C138" s="38"/>
      <c r="D138" s="38"/>
      <c r="E138" s="38"/>
      <c r="F138" s="38"/>
      <c r="G138" s="38"/>
      <c r="H138" s="38"/>
      <c r="I138" s="38"/>
      <c r="J138" s="38"/>
      <c r="K138" s="38"/>
      <c r="L138" s="38"/>
      <c r="M138" s="38"/>
      <c r="N138" s="38" t="s">
        <v>173</v>
      </c>
      <c r="O138" s="38" t="s">
        <v>173</v>
      </c>
      <c r="P138" s="38" t="s">
        <v>173</v>
      </c>
      <c r="Q138" s="446"/>
      <c r="R138" s="446"/>
      <c r="S138" s="446"/>
      <c r="T138" s="33"/>
    </row>
    <row r="139" spans="1:20" s="65" customFormat="1" ht="12.75" thickBot="1" x14ac:dyDescent="0.25">
      <c r="A139" s="103"/>
    </row>
    <row r="140" spans="1:20" s="65" customFormat="1" ht="12.75" x14ac:dyDescent="0.2">
      <c r="A140" s="326" t="s">
        <v>175</v>
      </c>
      <c r="B140" s="687" t="s">
        <v>176</v>
      </c>
      <c r="C140" s="687"/>
      <c r="D140" s="659" t="s">
        <v>177</v>
      </c>
      <c r="E140" s="659"/>
      <c r="F140" s="660" t="s">
        <v>178</v>
      </c>
      <c r="G140" s="661"/>
      <c r="I140" s="341" t="s">
        <v>46</v>
      </c>
    </row>
    <row r="141" spans="1:20" s="65" customFormat="1" ht="12.75" x14ac:dyDescent="0.2">
      <c r="A141" s="327" t="s">
        <v>179</v>
      </c>
      <c r="B141" s="212"/>
      <c r="C141" s="212"/>
      <c r="D141" s="212"/>
      <c r="E141" s="212"/>
      <c r="F141" s="212"/>
      <c r="G141" s="328"/>
      <c r="I141" s="458" t="s">
        <v>180</v>
      </c>
    </row>
    <row r="142" spans="1:20" s="65" customFormat="1" ht="12" x14ac:dyDescent="0.2">
      <c r="A142" s="329" t="s">
        <v>181</v>
      </c>
      <c r="B142" s="330">
        <v>6</v>
      </c>
      <c r="C142" s="330"/>
      <c r="D142" s="331">
        <v>5</v>
      </c>
      <c r="E142" s="331">
        <v>3</v>
      </c>
      <c r="F142" s="332">
        <v>2</v>
      </c>
      <c r="G142" s="333">
        <v>0</v>
      </c>
    </row>
    <row r="143" spans="1:20" s="65" customFormat="1" ht="12" x14ac:dyDescent="0.2">
      <c r="A143" s="329" t="s">
        <v>182</v>
      </c>
      <c r="B143" s="330">
        <v>6</v>
      </c>
      <c r="C143" s="330">
        <v>3</v>
      </c>
      <c r="D143" s="331"/>
      <c r="E143" s="331">
        <v>2</v>
      </c>
      <c r="F143" s="332">
        <v>1</v>
      </c>
      <c r="G143" s="333">
        <v>0</v>
      </c>
    </row>
    <row r="144" spans="1:20" s="65" customFormat="1" ht="12" x14ac:dyDescent="0.2">
      <c r="A144" s="327" t="s">
        <v>111</v>
      </c>
      <c r="B144" s="214"/>
      <c r="C144" s="242"/>
      <c r="D144" s="242"/>
      <c r="E144" s="242"/>
      <c r="F144" s="242"/>
      <c r="G144" s="334"/>
    </row>
    <row r="145" spans="1:7" s="65" customFormat="1" ht="12" x14ac:dyDescent="0.2">
      <c r="A145" s="459" t="str">
        <f>A39</f>
        <v>Ready P-3C Tactical Support Mission Systems (C)</v>
      </c>
      <c r="B145" s="330" t="s">
        <v>231</v>
      </c>
      <c r="C145" s="330"/>
      <c r="D145" s="331"/>
      <c r="E145" s="331"/>
      <c r="F145" s="332"/>
      <c r="G145" s="333"/>
    </row>
    <row r="146" spans="1:7" s="65" customFormat="1" ht="12" x14ac:dyDescent="0.2">
      <c r="A146" s="459" t="s">
        <v>232</v>
      </c>
      <c r="B146" s="330">
        <v>6</v>
      </c>
      <c r="C146" s="330">
        <v>2</v>
      </c>
      <c r="D146" s="331"/>
      <c r="E146" s="331">
        <v>1</v>
      </c>
      <c r="F146" s="332">
        <v>0</v>
      </c>
      <c r="G146" s="333">
        <v>0</v>
      </c>
    </row>
    <row r="147" spans="1:7" s="65" customFormat="1" ht="12" x14ac:dyDescent="0.2">
      <c r="A147" s="459" t="s">
        <v>233</v>
      </c>
      <c r="B147" s="330">
        <v>6</v>
      </c>
      <c r="C147" s="330">
        <v>2</v>
      </c>
      <c r="D147" s="331"/>
      <c r="E147" s="331">
        <v>1</v>
      </c>
      <c r="F147" s="332">
        <v>0</v>
      </c>
      <c r="G147" s="333">
        <v>0</v>
      </c>
    </row>
    <row r="148" spans="1:7" s="65" customFormat="1" ht="12" x14ac:dyDescent="0.2">
      <c r="A148" s="459" t="s">
        <v>234</v>
      </c>
      <c r="B148" s="330">
        <v>6</v>
      </c>
      <c r="C148" s="330">
        <v>2</v>
      </c>
      <c r="D148" s="331"/>
      <c r="E148" s="331">
        <v>1</v>
      </c>
      <c r="F148" s="332">
        <v>0</v>
      </c>
      <c r="G148" s="333">
        <v>0</v>
      </c>
    </row>
    <row r="149" spans="1:7" s="65" customFormat="1" ht="12" x14ac:dyDescent="0.2">
      <c r="A149" s="459" t="s">
        <v>235</v>
      </c>
      <c r="B149" s="330">
        <v>6</v>
      </c>
      <c r="C149" s="330">
        <v>2</v>
      </c>
      <c r="D149" s="331"/>
      <c r="E149" s="331">
        <v>1</v>
      </c>
      <c r="F149" s="332">
        <v>0</v>
      </c>
      <c r="G149" s="333">
        <v>0</v>
      </c>
    </row>
    <row r="150" spans="1:7" s="65" customFormat="1" ht="12" x14ac:dyDescent="0.2">
      <c r="A150" s="459" t="s">
        <v>236</v>
      </c>
      <c r="B150" s="335">
        <v>6</v>
      </c>
      <c r="C150" s="330">
        <v>2</v>
      </c>
      <c r="D150" s="331"/>
      <c r="E150" s="331">
        <v>1</v>
      </c>
      <c r="F150" s="332">
        <v>0</v>
      </c>
      <c r="G150" s="336">
        <v>0</v>
      </c>
    </row>
    <row r="151" spans="1:7" s="65" customFormat="1" ht="12" x14ac:dyDescent="0.2">
      <c r="A151" s="459" t="s">
        <v>237</v>
      </c>
      <c r="B151" s="335">
        <v>6</v>
      </c>
      <c r="C151" s="330">
        <v>2</v>
      </c>
      <c r="D151" s="331"/>
      <c r="E151" s="331">
        <v>1</v>
      </c>
      <c r="F151" s="332">
        <v>0</v>
      </c>
      <c r="G151" s="336">
        <v>0</v>
      </c>
    </row>
    <row r="152" spans="1:7" s="65" customFormat="1" ht="12" x14ac:dyDescent="0.2">
      <c r="A152" s="459" t="s">
        <v>238</v>
      </c>
      <c r="B152" s="335">
        <v>6</v>
      </c>
      <c r="C152" s="330">
        <v>2</v>
      </c>
      <c r="D152" s="331"/>
      <c r="E152" s="331">
        <v>1</v>
      </c>
      <c r="F152" s="332">
        <v>0</v>
      </c>
      <c r="G152" s="336">
        <v>0</v>
      </c>
    </row>
    <row r="153" spans="1:7" s="65" customFormat="1" ht="12" x14ac:dyDescent="0.2">
      <c r="A153" s="459" t="s">
        <v>239</v>
      </c>
      <c r="B153" s="335">
        <v>6</v>
      </c>
      <c r="C153" s="330">
        <v>2</v>
      </c>
      <c r="D153" s="331"/>
      <c r="E153" s="331">
        <v>1</v>
      </c>
      <c r="F153" s="332">
        <v>0</v>
      </c>
      <c r="G153" s="336">
        <v>0</v>
      </c>
    </row>
    <row r="154" spans="1:7" s="65" customFormat="1" ht="12" x14ac:dyDescent="0.2">
      <c r="A154" s="459" t="s">
        <v>240</v>
      </c>
      <c r="B154" s="335">
        <v>6</v>
      </c>
      <c r="C154" s="330">
        <v>2</v>
      </c>
      <c r="D154" s="331"/>
      <c r="E154" s="331">
        <v>1</v>
      </c>
      <c r="F154" s="332">
        <v>0</v>
      </c>
      <c r="G154" s="336">
        <v>0</v>
      </c>
    </row>
    <row r="155" spans="1:7" s="65" customFormat="1" ht="12.75" thickBot="1" x14ac:dyDescent="0.25">
      <c r="A155" s="460" t="str">
        <f>A49</f>
        <v>Ready P-3C IMC Flight Mission Systems (L)</v>
      </c>
      <c r="B155" s="337">
        <v>6</v>
      </c>
      <c r="C155" s="337">
        <v>3</v>
      </c>
      <c r="D155" s="338"/>
      <c r="E155" s="338">
        <v>2</v>
      </c>
      <c r="F155" s="339">
        <v>1</v>
      </c>
      <c r="G155" s="466">
        <v>0</v>
      </c>
    </row>
    <row r="156" spans="1:7" s="65" customFormat="1" ht="12" x14ac:dyDescent="0.2">
      <c r="A156" s="103"/>
    </row>
    <row r="157" spans="1:7" s="65" customFormat="1" ht="12" x14ac:dyDescent="0.2">
      <c r="A157" s="103"/>
    </row>
    <row r="158" spans="1:7" s="65" customFormat="1" ht="12" x14ac:dyDescent="0.2">
      <c r="A158" s="582" t="s">
        <v>183</v>
      </c>
      <c r="B158" s="582" t="s">
        <v>241</v>
      </c>
    </row>
    <row r="159" spans="1:7" s="65" customFormat="1" ht="12" x14ac:dyDescent="0.2">
      <c r="A159" s="623" t="s">
        <v>185</v>
      </c>
      <c r="B159" s="586">
        <f>HLOOKUP($B$158,'P-8A Mission System Summary'!$B$1:$G$13,2,FALSE)</f>
        <v>0.71939135494482598</v>
      </c>
    </row>
    <row r="160" spans="1:7" s="65" customFormat="1" ht="12" x14ac:dyDescent="0.2">
      <c r="A160" s="583" t="str">
        <f>A39</f>
        <v>Ready P-3C Tactical Support Mission Systems (C)</v>
      </c>
      <c r="B160" s="586">
        <f>HLOOKUP($B$158,'P-8A Mission System Summary'!$B$1:$G$13,3,FALSE)</f>
        <v>0</v>
      </c>
    </row>
    <row r="161" spans="1:2" s="65" customFormat="1" ht="12" x14ac:dyDescent="0.2">
      <c r="A161" s="583" t="str">
        <f t="shared" ref="A161:A170" si="76">A40</f>
        <v>Ready P-3C ASUW Mission Systems (D)</v>
      </c>
      <c r="B161" s="586">
        <f>HLOOKUP($B$158,'P-8A Mission System Summary'!$B$1:$G$13,4,FALSE)</f>
        <v>5.0656660412757994E-2</v>
      </c>
    </row>
    <row r="162" spans="1:2" s="65" customFormat="1" ht="12" x14ac:dyDescent="0.2">
      <c r="A162" s="583" t="str">
        <f t="shared" si="76"/>
        <v>Ready P-3C Advanced ASW Mission Systems (E)</v>
      </c>
      <c r="B162" s="586">
        <f>HLOOKUP($B$158,'P-8A Mission System Summary'!$B$1:$G$13,5,FALSE)</f>
        <v>0.47802369612876194</v>
      </c>
    </row>
    <row r="163" spans="1:2" s="65" customFormat="1" ht="12" x14ac:dyDescent="0.2">
      <c r="A163" s="583" t="str">
        <f t="shared" si="76"/>
        <v>Ready P-3C Countermeasures Mission Systems (F)</v>
      </c>
      <c r="B163" s="586">
        <f>HLOOKUP($B$158,'P-8A Mission System Summary'!$B$1:$G$13,6,FALSE)</f>
        <v>0.13160182531664713</v>
      </c>
    </row>
    <row r="164" spans="1:2" s="65" customFormat="1" ht="12" x14ac:dyDescent="0.2">
      <c r="A164" s="583" t="str">
        <f t="shared" si="76"/>
        <v>Ready P-3C Weapon Mission Systems (G)</v>
      </c>
      <c r="B164" s="586">
        <f>HLOOKUP($B$158,'P-8A Mission System Summary'!$B$1:$G$13,7,FALSE)</f>
        <v>0.25919015318640093</v>
      </c>
    </row>
    <row r="165" spans="1:2" s="65" customFormat="1" ht="12" x14ac:dyDescent="0.2">
      <c r="A165" s="583" t="str">
        <f t="shared" si="76"/>
        <v>Ready P-3C Basic ASW Mission Systems (H)</v>
      </c>
      <c r="B165" s="586">
        <f>HLOOKUP($B$158,'P-8A Mission System Summary'!$B$1:$G$13,8,FALSE)</f>
        <v>0.47802369612876194</v>
      </c>
    </row>
    <row r="166" spans="1:2" s="65" customFormat="1" ht="12" x14ac:dyDescent="0.2">
      <c r="A166" s="583" t="str">
        <f t="shared" si="76"/>
        <v>Ready P-3C C4I Mission Systems (I)</v>
      </c>
      <c r="B166" s="586">
        <f>HLOOKUP($B$158,'P-8A Mission System Summary'!$B$1:$G$13,9,FALSE)</f>
        <v>5.6099622703750303E-2</v>
      </c>
    </row>
    <row r="167" spans="1:2" s="65" customFormat="1" ht="12" x14ac:dyDescent="0.2">
      <c r="A167" s="583" t="str">
        <f t="shared" si="76"/>
        <v>Ready P-3C Surveillance Mission Systems (J)</v>
      </c>
      <c r="B167" s="586">
        <f>HLOOKUP($B$158,'P-8A Mission System Summary'!$B$1:$G$13,10,FALSE)</f>
        <v>0.48641492966070843</v>
      </c>
    </row>
    <row r="168" spans="1:2" s="65" customFormat="1" ht="12" x14ac:dyDescent="0.2">
      <c r="A168" s="583" t="str">
        <f t="shared" si="76"/>
        <v>Ready P-3C Basic Tactical Mission Systems (K group 1)</v>
      </c>
      <c r="B168" s="586">
        <f>HLOOKUP($B$158,'P-8A Mission System Summary'!$B$1:$G$13,11,FALSE)</f>
        <v>0.67175913517376951</v>
      </c>
    </row>
    <row r="169" spans="1:2" s="65" customFormat="1" ht="12" x14ac:dyDescent="0.2">
      <c r="A169" s="583" t="str">
        <f t="shared" si="76"/>
        <v>Ready P-3C Mobility Mission Systems (K group 2)</v>
      </c>
      <c r="B169" s="586">
        <f>HLOOKUP($B$158,'P-8A Mission System Summary'!$B$1:$G$13,12,FALSE)</f>
        <v>0.67175913517376951</v>
      </c>
    </row>
    <row r="170" spans="1:2" s="65" customFormat="1" ht="12" x14ac:dyDescent="0.2">
      <c r="A170" s="583" t="str">
        <f t="shared" si="76"/>
        <v>Ready P-3C IMC Flight Mission Systems (L)</v>
      </c>
      <c r="B170" s="586">
        <f>HLOOKUP($B$158,'P-8A Mission System Summary'!$B$1:$G$13,13,FALSE)</f>
        <v>1</v>
      </c>
    </row>
    <row r="171" spans="1:2" s="65" customFormat="1" ht="12" x14ac:dyDescent="0.2">
      <c r="A171" s="103"/>
    </row>
    <row r="172" spans="1:2" s="65" customFormat="1" ht="12" x14ac:dyDescent="0.2">
      <c r="A172" s="103"/>
    </row>
    <row r="173" spans="1:2" s="65" customFormat="1" ht="12" x14ac:dyDescent="0.2">
      <c r="A173" s="103"/>
    </row>
    <row r="174" spans="1:2" s="65" customFormat="1" ht="12" x14ac:dyDescent="0.2">
      <c r="A174" s="103"/>
    </row>
    <row r="175" spans="1:2" s="65" customFormat="1" ht="12" x14ac:dyDescent="0.2">
      <c r="A175" s="103"/>
    </row>
    <row r="176" spans="1:2" s="65" customFormat="1" ht="12" x14ac:dyDescent="0.2">
      <c r="A176" s="103"/>
    </row>
    <row r="177" spans="1:1" s="65" customFormat="1" ht="12" x14ac:dyDescent="0.2">
      <c r="A177" s="103"/>
    </row>
    <row r="178" spans="1:1" s="65" customFormat="1" ht="12" x14ac:dyDescent="0.2">
      <c r="A178" s="103"/>
    </row>
    <row r="179" spans="1:1" s="65" customFormat="1" ht="12" x14ac:dyDescent="0.2">
      <c r="A179" s="103"/>
    </row>
    <row r="180" spans="1:1" s="65" customFormat="1" ht="12" x14ac:dyDescent="0.2">
      <c r="A180" s="103"/>
    </row>
    <row r="181" spans="1:1" s="65" customFormat="1" ht="12" x14ac:dyDescent="0.2">
      <c r="A181" s="103"/>
    </row>
    <row r="182" spans="1:1" s="65" customFormat="1" ht="12" x14ac:dyDescent="0.2">
      <c r="A182" s="103"/>
    </row>
    <row r="183" spans="1:1" s="65" customFormat="1" ht="12" x14ac:dyDescent="0.2">
      <c r="A183" s="103"/>
    </row>
    <row r="184" spans="1:1" s="65" customFormat="1" ht="12" x14ac:dyDescent="0.2">
      <c r="A184" s="103"/>
    </row>
    <row r="185" spans="1:1" s="65" customFormat="1" ht="12" x14ac:dyDescent="0.2">
      <c r="A185" s="103"/>
    </row>
    <row r="186" spans="1:1" s="65" customFormat="1" ht="12" x14ac:dyDescent="0.2">
      <c r="A186" s="103"/>
    </row>
    <row r="187" spans="1:1" s="65" customFormat="1" ht="12" x14ac:dyDescent="0.2">
      <c r="A187" s="103"/>
    </row>
    <row r="188" spans="1:1" s="65" customFormat="1" ht="12" x14ac:dyDescent="0.2">
      <c r="A188" s="103"/>
    </row>
    <row r="189" spans="1:1" s="65" customFormat="1" ht="12" x14ac:dyDescent="0.2">
      <c r="A189" s="103"/>
    </row>
    <row r="190" spans="1:1" s="65" customFormat="1" ht="12" x14ac:dyDescent="0.2">
      <c r="A190" s="103"/>
    </row>
    <row r="191" spans="1:1" s="65" customFormat="1" ht="12" x14ac:dyDescent="0.2">
      <c r="A191" s="103"/>
    </row>
    <row r="192" spans="1:1" s="65" customFormat="1" ht="12" x14ac:dyDescent="0.2">
      <c r="A192" s="103"/>
    </row>
    <row r="193" spans="1:1" s="65" customFormat="1" ht="12" x14ac:dyDescent="0.2">
      <c r="A193" s="103"/>
    </row>
    <row r="194" spans="1:1" s="65" customFormat="1" ht="12" x14ac:dyDescent="0.2">
      <c r="A194" s="103"/>
    </row>
    <row r="195" spans="1:1" s="65" customFormat="1" ht="12" x14ac:dyDescent="0.2">
      <c r="A195" s="103"/>
    </row>
    <row r="196" spans="1:1" s="65" customFormat="1" ht="12" x14ac:dyDescent="0.2">
      <c r="A196" s="103"/>
    </row>
    <row r="197" spans="1:1" s="65" customFormat="1" ht="12" x14ac:dyDescent="0.2">
      <c r="A197" s="103"/>
    </row>
    <row r="198" spans="1:1" s="65" customFormat="1" ht="12" x14ac:dyDescent="0.2">
      <c r="A198" s="103"/>
    </row>
    <row r="199" spans="1:1" s="65" customFormat="1" ht="12" x14ac:dyDescent="0.2">
      <c r="A199" s="103"/>
    </row>
    <row r="200" spans="1:1" s="65" customFormat="1" ht="12" x14ac:dyDescent="0.2">
      <c r="A200" s="103"/>
    </row>
    <row r="201" spans="1:1" s="65" customFormat="1" ht="12" x14ac:dyDescent="0.2">
      <c r="A201" s="103"/>
    </row>
    <row r="202" spans="1:1" s="65" customFormat="1" ht="12" x14ac:dyDescent="0.2">
      <c r="A202" s="103"/>
    </row>
    <row r="203" spans="1:1" s="65" customFormat="1" ht="12" x14ac:dyDescent="0.2">
      <c r="A203" s="103"/>
    </row>
    <row r="204" spans="1:1" s="65" customFormat="1" ht="12" x14ac:dyDescent="0.2">
      <c r="A204" s="103"/>
    </row>
    <row r="205" spans="1:1" s="65" customFormat="1" ht="12" x14ac:dyDescent="0.2">
      <c r="A205" s="103"/>
    </row>
    <row r="206" spans="1:1" s="65" customFormat="1" ht="12" x14ac:dyDescent="0.2">
      <c r="A206" s="103"/>
    </row>
    <row r="207" spans="1:1" s="65" customFormat="1" ht="12" x14ac:dyDescent="0.2">
      <c r="A207" s="103"/>
    </row>
    <row r="208" spans="1:1" s="65" customFormat="1" ht="12" x14ac:dyDescent="0.2">
      <c r="A208" s="103"/>
    </row>
    <row r="209" spans="1:1" s="65" customFormat="1" ht="12" x14ac:dyDescent="0.2">
      <c r="A209" s="103"/>
    </row>
    <row r="210" spans="1:1" s="65" customFormat="1" ht="12" x14ac:dyDescent="0.2">
      <c r="A210" s="103"/>
    </row>
    <row r="211" spans="1:1" s="65" customFormat="1" ht="12" x14ac:dyDescent="0.2">
      <c r="A211" s="103"/>
    </row>
    <row r="212" spans="1:1" s="65" customFormat="1" ht="12" x14ac:dyDescent="0.2">
      <c r="A212" s="103"/>
    </row>
    <row r="213" spans="1:1" s="65" customFormat="1" ht="12" x14ac:dyDescent="0.2">
      <c r="A213" s="103"/>
    </row>
    <row r="214" spans="1:1" s="65" customFormat="1" ht="12" x14ac:dyDescent="0.2">
      <c r="A214" s="103"/>
    </row>
    <row r="215" spans="1:1" s="65" customFormat="1" ht="12" x14ac:dyDescent="0.2">
      <c r="A215" s="103"/>
    </row>
    <row r="216" spans="1:1" s="65" customFormat="1" ht="12" x14ac:dyDescent="0.2">
      <c r="A216" s="103"/>
    </row>
    <row r="217" spans="1:1" s="65" customFormat="1" ht="12" x14ac:dyDescent="0.2">
      <c r="A217" s="103"/>
    </row>
    <row r="218" spans="1:1" s="65" customFormat="1" ht="12" x14ac:dyDescent="0.2">
      <c r="A218" s="103"/>
    </row>
    <row r="219" spans="1:1" s="65" customFormat="1" ht="12" x14ac:dyDescent="0.2">
      <c r="A219" s="103"/>
    </row>
    <row r="220" spans="1:1" s="65" customFormat="1" ht="12" x14ac:dyDescent="0.2">
      <c r="A220" s="103"/>
    </row>
    <row r="221" spans="1:1" s="65" customFormat="1" ht="12" x14ac:dyDescent="0.2">
      <c r="A221" s="103"/>
    </row>
    <row r="222" spans="1:1" s="65" customFormat="1" ht="12" x14ac:dyDescent="0.2">
      <c r="A222" s="103"/>
    </row>
    <row r="223" spans="1:1" s="65" customFormat="1" ht="12" x14ac:dyDescent="0.2">
      <c r="A223" s="103"/>
    </row>
    <row r="224" spans="1:1" s="65" customFormat="1" ht="12" x14ac:dyDescent="0.2">
      <c r="A224" s="103"/>
    </row>
    <row r="225" spans="1:24" s="65" customFormat="1" ht="12" x14ac:dyDescent="0.2">
      <c r="A225" s="103"/>
    </row>
    <row r="226" spans="1:24" s="3" customFormat="1" ht="12" x14ac:dyDescent="0.2">
      <c r="A226" s="103"/>
      <c r="B226" s="65"/>
      <c r="C226" s="65"/>
      <c r="D226" s="65"/>
      <c r="E226" s="65"/>
      <c r="F226" s="65"/>
      <c r="G226" s="65"/>
      <c r="H226" s="65"/>
      <c r="I226" s="65"/>
      <c r="J226" s="65"/>
      <c r="K226" s="65"/>
      <c r="L226" s="65"/>
      <c r="M226" s="65"/>
      <c r="N226" s="65"/>
      <c r="O226" s="65"/>
      <c r="P226" s="65"/>
      <c r="Q226" s="65"/>
      <c r="R226" s="65"/>
      <c r="S226" s="65"/>
      <c r="T226" s="65"/>
      <c r="U226" s="65"/>
      <c r="V226" s="65"/>
      <c r="W226" s="65"/>
      <c r="X226" s="65"/>
    </row>
    <row r="227" spans="1:24" s="3" customFormat="1" ht="12" x14ac:dyDescent="0.2">
      <c r="A227" s="103"/>
      <c r="B227" s="65"/>
      <c r="C227" s="65"/>
      <c r="D227" s="65"/>
      <c r="E227" s="65"/>
      <c r="F227" s="65"/>
      <c r="G227" s="65"/>
      <c r="H227" s="65"/>
      <c r="I227" s="65"/>
      <c r="J227" s="65"/>
      <c r="K227" s="65"/>
      <c r="L227" s="65"/>
      <c r="M227" s="65"/>
      <c r="N227" s="65"/>
      <c r="O227" s="65"/>
      <c r="P227" s="65"/>
      <c r="Q227" s="65"/>
      <c r="R227" s="65"/>
      <c r="S227" s="65"/>
      <c r="T227" s="65"/>
    </row>
    <row r="228" spans="1:24" s="3" customFormat="1" ht="12" x14ac:dyDescent="0.2">
      <c r="A228" s="103"/>
      <c r="B228" s="65"/>
      <c r="C228" s="65"/>
      <c r="D228" s="65"/>
      <c r="E228" s="65"/>
      <c r="F228" s="65"/>
      <c r="G228" s="65"/>
      <c r="H228" s="65"/>
      <c r="I228" s="65"/>
      <c r="J228" s="65"/>
      <c r="K228" s="65"/>
      <c r="L228" s="65"/>
      <c r="M228" s="65"/>
      <c r="N228" s="65"/>
      <c r="O228" s="65"/>
      <c r="P228" s="65"/>
      <c r="Q228" s="65"/>
      <c r="R228" s="65"/>
      <c r="S228" s="65"/>
      <c r="T228" s="65"/>
    </row>
    <row r="229" spans="1:24" s="3" customFormat="1" ht="12" x14ac:dyDescent="0.2">
      <c r="A229" s="103"/>
      <c r="B229" s="65"/>
      <c r="C229" s="65"/>
      <c r="D229" s="65"/>
      <c r="E229" s="65"/>
      <c r="F229" s="65"/>
      <c r="G229" s="65"/>
      <c r="H229" s="65"/>
      <c r="I229" s="65"/>
      <c r="J229" s="65"/>
      <c r="K229" s="65"/>
      <c r="L229" s="65"/>
      <c r="M229" s="65"/>
      <c r="N229" s="65"/>
      <c r="O229" s="65"/>
      <c r="P229" s="65"/>
      <c r="Q229" s="65"/>
      <c r="R229" s="65"/>
      <c r="S229" s="65"/>
      <c r="T229" s="65"/>
    </row>
    <row r="230" spans="1:24" s="3" customFormat="1" ht="12" x14ac:dyDescent="0.2">
      <c r="A230" s="103"/>
      <c r="B230" s="65"/>
      <c r="C230" s="65"/>
      <c r="D230" s="65"/>
      <c r="E230" s="65"/>
      <c r="F230" s="65"/>
      <c r="G230" s="65"/>
      <c r="H230" s="65"/>
      <c r="I230" s="65"/>
      <c r="J230" s="65"/>
      <c r="K230" s="65"/>
      <c r="L230" s="65"/>
      <c r="M230" s="65"/>
      <c r="N230" s="65"/>
      <c r="O230" s="65"/>
      <c r="P230" s="65"/>
      <c r="Q230" s="65"/>
      <c r="R230" s="65"/>
      <c r="S230" s="65"/>
      <c r="T230" s="65"/>
    </row>
    <row r="231" spans="1:24" ht="12" x14ac:dyDescent="0.2">
      <c r="A231" s="103"/>
      <c r="B231" s="65"/>
      <c r="C231" s="65"/>
      <c r="D231" s="65"/>
      <c r="E231" s="65"/>
      <c r="F231" s="65"/>
      <c r="G231" s="65"/>
      <c r="H231" s="65"/>
      <c r="I231" s="65"/>
      <c r="J231" s="65"/>
      <c r="K231" s="65"/>
      <c r="L231" s="65"/>
      <c r="M231" s="65"/>
      <c r="N231" s="65"/>
      <c r="O231" s="65"/>
      <c r="P231" s="65"/>
      <c r="Q231" s="65"/>
      <c r="R231" s="65"/>
      <c r="S231" s="65"/>
      <c r="T231" s="65"/>
      <c r="U231" s="3"/>
      <c r="V231" s="3"/>
      <c r="W231" s="3"/>
      <c r="X231" s="3"/>
    </row>
    <row r="232" spans="1:24" ht="12" x14ac:dyDescent="0.2">
      <c r="A232" s="103"/>
      <c r="B232" s="65"/>
      <c r="C232" s="65"/>
      <c r="D232" s="65"/>
      <c r="E232" s="65"/>
      <c r="F232" s="65"/>
      <c r="G232" s="65"/>
      <c r="H232" s="65"/>
      <c r="I232" s="65"/>
      <c r="J232" s="65"/>
      <c r="K232" s="65"/>
      <c r="L232" s="65"/>
      <c r="M232" s="65"/>
      <c r="N232" s="65"/>
      <c r="O232" s="65"/>
      <c r="P232" s="65"/>
      <c r="Q232" s="65"/>
      <c r="R232" s="65"/>
      <c r="S232" s="65"/>
      <c r="T232" s="65"/>
    </row>
    <row r="233" spans="1:24" ht="12" x14ac:dyDescent="0.2">
      <c r="A233" s="103"/>
      <c r="B233" s="65"/>
      <c r="C233" s="65"/>
      <c r="D233" s="65"/>
      <c r="E233" s="65"/>
      <c r="F233" s="65"/>
      <c r="G233" s="65"/>
      <c r="H233" s="65"/>
      <c r="I233" s="65"/>
      <c r="J233" s="65"/>
      <c r="K233" s="65"/>
      <c r="L233" s="65"/>
      <c r="M233" s="65"/>
      <c r="N233" s="65"/>
      <c r="O233" s="65"/>
      <c r="P233" s="65"/>
      <c r="Q233" s="65"/>
      <c r="R233" s="65"/>
      <c r="S233" s="65"/>
      <c r="T233" s="65"/>
    </row>
    <row r="234" spans="1:24" ht="12" x14ac:dyDescent="0.2">
      <c r="A234" s="103"/>
      <c r="B234" s="65"/>
      <c r="C234" s="65"/>
      <c r="D234" s="65"/>
      <c r="E234" s="65"/>
      <c r="F234" s="65"/>
      <c r="G234" s="65"/>
      <c r="H234" s="65"/>
      <c r="I234" s="65"/>
      <c r="J234" s="65"/>
      <c r="K234" s="65"/>
      <c r="L234" s="65"/>
      <c r="M234" s="65"/>
      <c r="N234" s="65"/>
      <c r="O234" s="65"/>
      <c r="P234" s="65"/>
      <c r="Q234" s="65"/>
      <c r="R234" s="65"/>
      <c r="S234" s="65"/>
      <c r="T234" s="65"/>
    </row>
    <row r="235" spans="1:24" ht="12" x14ac:dyDescent="0.2">
      <c r="A235" s="103"/>
      <c r="B235" s="65"/>
      <c r="C235" s="65"/>
      <c r="D235" s="65"/>
      <c r="E235" s="65"/>
      <c r="F235" s="65"/>
      <c r="G235" s="65"/>
      <c r="H235" s="65"/>
      <c r="I235" s="65"/>
      <c r="J235" s="65"/>
      <c r="K235" s="65"/>
      <c r="L235" s="65"/>
      <c r="M235" s="65"/>
      <c r="N235" s="65"/>
      <c r="O235" s="65"/>
      <c r="P235" s="65"/>
      <c r="Q235" s="65"/>
      <c r="R235" s="65"/>
      <c r="S235" s="65"/>
      <c r="T235" s="65"/>
    </row>
    <row r="236" spans="1:24" ht="12" x14ac:dyDescent="0.2">
      <c r="A236" s="103"/>
      <c r="B236" s="65"/>
      <c r="C236" s="65"/>
      <c r="D236" s="65"/>
      <c r="E236" s="65"/>
      <c r="F236" s="65"/>
      <c r="G236" s="65"/>
      <c r="H236" s="65"/>
      <c r="I236" s="65"/>
      <c r="J236" s="65"/>
      <c r="K236" s="65"/>
      <c r="L236" s="65"/>
      <c r="M236" s="65"/>
      <c r="N236" s="65"/>
      <c r="O236" s="65"/>
      <c r="P236" s="65"/>
      <c r="Q236" s="65"/>
      <c r="R236" s="65"/>
      <c r="S236" s="65"/>
      <c r="T236" s="65"/>
    </row>
    <row r="237" spans="1:24" ht="12" x14ac:dyDescent="0.2">
      <c r="A237" s="103"/>
      <c r="B237" s="65"/>
      <c r="C237" s="65"/>
      <c r="D237" s="65"/>
      <c r="E237" s="65"/>
      <c r="F237" s="65"/>
      <c r="G237" s="65"/>
      <c r="H237" s="65"/>
      <c r="I237" s="65"/>
      <c r="J237" s="65"/>
      <c r="K237" s="65"/>
      <c r="L237" s="65"/>
      <c r="M237" s="65"/>
      <c r="N237" s="65"/>
      <c r="O237" s="65"/>
      <c r="P237" s="65"/>
      <c r="Q237" s="65"/>
      <c r="R237" s="65"/>
      <c r="S237" s="65"/>
      <c r="T237" s="65"/>
    </row>
    <row r="238" spans="1:24" ht="12" x14ac:dyDescent="0.2">
      <c r="A238" s="103"/>
      <c r="B238" s="65"/>
      <c r="C238" s="65"/>
      <c r="D238" s="65"/>
      <c r="E238" s="65"/>
      <c r="F238" s="65"/>
      <c r="G238" s="65"/>
      <c r="H238" s="65"/>
      <c r="I238" s="65"/>
      <c r="J238" s="65"/>
      <c r="K238" s="65"/>
      <c r="L238" s="65"/>
      <c r="M238" s="65"/>
      <c r="N238" s="65"/>
      <c r="O238" s="65"/>
      <c r="P238" s="65"/>
      <c r="Q238" s="65"/>
      <c r="R238" s="65"/>
      <c r="S238" s="65"/>
      <c r="T238" s="65"/>
    </row>
    <row r="239" spans="1:24" ht="12" x14ac:dyDescent="0.2">
      <c r="A239" s="103"/>
      <c r="B239" s="65"/>
      <c r="C239" s="65"/>
      <c r="D239" s="65"/>
      <c r="E239" s="65"/>
      <c r="F239" s="65"/>
      <c r="G239" s="65"/>
      <c r="H239" s="65"/>
      <c r="I239" s="65"/>
      <c r="J239" s="65"/>
      <c r="K239" s="65"/>
      <c r="L239" s="65"/>
      <c r="M239" s="65"/>
      <c r="N239" s="65"/>
      <c r="O239" s="65"/>
      <c r="P239" s="65"/>
      <c r="Q239" s="65"/>
      <c r="R239" s="65"/>
      <c r="S239" s="65"/>
      <c r="T239" s="65"/>
    </row>
    <row r="240" spans="1:24" ht="12" x14ac:dyDescent="0.2">
      <c r="A240" s="103"/>
      <c r="B240" s="65"/>
      <c r="C240" s="65"/>
      <c r="D240" s="65"/>
      <c r="E240" s="65"/>
      <c r="F240" s="65"/>
      <c r="G240" s="65"/>
      <c r="H240" s="65"/>
      <c r="I240" s="65"/>
      <c r="J240" s="65"/>
      <c r="K240" s="65"/>
      <c r="L240" s="65"/>
      <c r="M240" s="65"/>
      <c r="N240" s="65"/>
      <c r="O240" s="65"/>
      <c r="P240" s="65"/>
      <c r="Q240" s="65"/>
      <c r="R240" s="65"/>
      <c r="S240" s="65"/>
      <c r="T240" s="65"/>
    </row>
    <row r="241" spans="1:20" ht="12" x14ac:dyDescent="0.2">
      <c r="A241" s="103"/>
      <c r="B241" s="65"/>
      <c r="C241" s="65"/>
      <c r="D241" s="65"/>
      <c r="E241" s="65"/>
      <c r="F241" s="65"/>
      <c r="G241" s="65"/>
      <c r="H241" s="65"/>
      <c r="I241" s="65"/>
      <c r="J241" s="65"/>
      <c r="K241" s="65"/>
      <c r="L241" s="65"/>
      <c r="M241" s="65"/>
      <c r="N241" s="65"/>
      <c r="O241" s="65"/>
      <c r="P241" s="65"/>
      <c r="Q241" s="65"/>
      <c r="R241" s="65"/>
      <c r="S241" s="65"/>
      <c r="T241" s="65"/>
    </row>
    <row r="242" spans="1:20" ht="12" x14ac:dyDescent="0.2">
      <c r="A242" s="103"/>
      <c r="B242" s="65"/>
      <c r="C242" s="65"/>
      <c r="D242" s="65"/>
      <c r="E242" s="65"/>
      <c r="F242" s="65"/>
      <c r="G242" s="65"/>
      <c r="H242" s="65"/>
      <c r="I242" s="65"/>
      <c r="J242" s="65"/>
      <c r="K242" s="65"/>
      <c r="L242" s="65"/>
      <c r="M242" s="65"/>
      <c r="N242" s="65"/>
      <c r="O242" s="65"/>
      <c r="P242" s="65"/>
      <c r="Q242" s="65"/>
      <c r="R242" s="65"/>
      <c r="S242" s="65"/>
      <c r="T242" s="65"/>
    </row>
    <row r="243" spans="1:20" ht="12" x14ac:dyDescent="0.2">
      <c r="A243" s="103"/>
      <c r="B243" s="65"/>
      <c r="C243" s="65"/>
      <c r="D243" s="65"/>
      <c r="E243" s="65"/>
      <c r="F243" s="65"/>
      <c r="G243" s="65"/>
      <c r="H243" s="65"/>
      <c r="I243" s="65"/>
      <c r="J243" s="65"/>
      <c r="K243" s="65"/>
      <c r="L243" s="65"/>
      <c r="M243" s="65"/>
      <c r="N243" s="65"/>
      <c r="O243" s="65"/>
      <c r="P243" s="65"/>
      <c r="Q243" s="65"/>
      <c r="R243" s="65"/>
      <c r="S243" s="65"/>
      <c r="T243" s="65"/>
    </row>
    <row r="244" spans="1:20" ht="12" x14ac:dyDescent="0.2">
      <c r="A244" s="103"/>
      <c r="B244" s="65"/>
      <c r="C244" s="65"/>
      <c r="D244" s="65"/>
      <c r="E244" s="65"/>
      <c r="F244" s="65"/>
      <c r="G244" s="65"/>
      <c r="H244" s="65"/>
      <c r="I244" s="65"/>
      <c r="J244" s="65"/>
      <c r="K244" s="65"/>
      <c r="L244" s="65"/>
      <c r="M244" s="65"/>
      <c r="N244" s="65"/>
      <c r="O244" s="65"/>
      <c r="P244" s="65"/>
      <c r="Q244" s="65"/>
      <c r="R244" s="65"/>
      <c r="S244" s="65"/>
      <c r="T244" s="65"/>
    </row>
    <row r="245" spans="1:20" ht="12" x14ac:dyDescent="0.2">
      <c r="A245" s="103"/>
      <c r="B245" s="65"/>
      <c r="C245" s="65"/>
      <c r="D245" s="65"/>
      <c r="E245" s="65"/>
      <c r="F245" s="65"/>
      <c r="G245" s="65"/>
      <c r="H245" s="65"/>
      <c r="I245" s="65"/>
      <c r="J245" s="65"/>
      <c r="K245" s="65"/>
      <c r="L245" s="65"/>
      <c r="M245" s="65"/>
      <c r="N245" s="65"/>
      <c r="O245" s="65"/>
      <c r="P245" s="65"/>
      <c r="Q245" s="65"/>
      <c r="R245" s="65"/>
      <c r="S245" s="65"/>
      <c r="T245" s="65"/>
    </row>
    <row r="246" spans="1:20" ht="12" x14ac:dyDescent="0.2">
      <c r="A246" s="103"/>
      <c r="B246" s="65"/>
      <c r="C246" s="65"/>
      <c r="D246" s="65"/>
      <c r="E246" s="65"/>
      <c r="F246" s="65"/>
      <c r="G246" s="65"/>
      <c r="H246" s="65"/>
      <c r="I246" s="65"/>
      <c r="J246" s="65"/>
      <c r="K246" s="65"/>
      <c r="L246" s="65"/>
      <c r="M246" s="65"/>
      <c r="N246" s="65"/>
      <c r="O246" s="65"/>
      <c r="P246" s="65"/>
      <c r="Q246" s="65"/>
      <c r="R246" s="65"/>
      <c r="S246" s="65"/>
      <c r="T246" s="65"/>
    </row>
    <row r="247" spans="1:20" ht="12" x14ac:dyDescent="0.2">
      <c r="A247" s="103"/>
      <c r="B247" s="65"/>
      <c r="C247" s="65"/>
      <c r="D247" s="65"/>
      <c r="E247" s="65"/>
      <c r="F247" s="65"/>
      <c r="G247" s="65"/>
      <c r="H247" s="65"/>
      <c r="I247" s="65"/>
      <c r="J247" s="65"/>
      <c r="K247" s="65"/>
      <c r="L247" s="65"/>
      <c r="M247" s="65"/>
      <c r="N247" s="65"/>
      <c r="O247" s="65"/>
      <c r="P247" s="65"/>
      <c r="Q247" s="65"/>
      <c r="R247" s="65"/>
      <c r="S247" s="65"/>
      <c r="T247" s="65"/>
    </row>
    <row r="248" spans="1:20" ht="11.25" x14ac:dyDescent="0.2">
      <c r="A248" s="4"/>
      <c r="B248" s="3"/>
      <c r="C248" s="3"/>
      <c r="D248" s="3"/>
      <c r="E248" s="3"/>
      <c r="F248" s="3"/>
      <c r="G248" s="3"/>
      <c r="H248" s="3"/>
      <c r="I248" s="3"/>
      <c r="J248" s="3"/>
      <c r="K248" s="3"/>
      <c r="L248" s="3"/>
      <c r="M248" s="3"/>
      <c r="N248" s="3"/>
      <c r="O248" s="3"/>
      <c r="P248" s="3"/>
      <c r="Q248" s="3"/>
      <c r="R248" s="3"/>
      <c r="S248" s="3"/>
      <c r="T248" s="3"/>
    </row>
    <row r="249" spans="1:20" ht="11.25" x14ac:dyDescent="0.2">
      <c r="A249" s="4"/>
      <c r="B249" s="3"/>
      <c r="C249" s="3"/>
      <c r="D249" s="3"/>
      <c r="E249" s="3"/>
      <c r="F249" s="3"/>
      <c r="G249" s="3"/>
      <c r="H249" s="3"/>
      <c r="I249" s="3"/>
      <c r="J249" s="3"/>
      <c r="K249" s="3"/>
      <c r="L249" s="3"/>
      <c r="M249" s="3"/>
      <c r="N249" s="3"/>
      <c r="O249" s="3"/>
      <c r="P249" s="3"/>
      <c r="Q249" s="3"/>
      <c r="R249" s="3"/>
      <c r="S249" s="3"/>
      <c r="T249" s="3"/>
    </row>
    <row r="250" spans="1:20" ht="11.25" x14ac:dyDescent="0.2">
      <c r="A250" s="4"/>
      <c r="B250" s="3"/>
      <c r="C250" s="3"/>
      <c r="D250" s="3"/>
      <c r="E250" s="3"/>
      <c r="F250" s="3"/>
      <c r="G250" s="3"/>
      <c r="H250" s="3"/>
      <c r="I250" s="3"/>
      <c r="J250" s="3"/>
      <c r="K250" s="3"/>
      <c r="L250" s="3"/>
      <c r="M250" s="3"/>
      <c r="N250" s="3"/>
      <c r="O250" s="3"/>
      <c r="P250" s="3"/>
      <c r="Q250" s="3"/>
      <c r="R250" s="3"/>
      <c r="S250" s="3"/>
      <c r="T250" s="3"/>
    </row>
    <row r="251" spans="1:20" ht="11.25" x14ac:dyDescent="0.2">
      <c r="A251" s="4"/>
      <c r="B251" s="3"/>
      <c r="C251" s="3"/>
      <c r="D251" s="3"/>
      <c r="E251" s="3"/>
      <c r="F251" s="3"/>
      <c r="G251" s="3"/>
      <c r="H251" s="3"/>
      <c r="I251" s="3"/>
      <c r="J251" s="3"/>
      <c r="K251" s="3"/>
      <c r="L251" s="3"/>
      <c r="M251" s="3"/>
      <c r="N251" s="3"/>
      <c r="O251" s="3"/>
      <c r="P251" s="3"/>
      <c r="Q251" s="3"/>
      <c r="R251" s="3"/>
      <c r="S251" s="3"/>
      <c r="T251" s="3"/>
    </row>
    <row r="252" spans="1:20" ht="11.25" x14ac:dyDescent="0.2">
      <c r="A252" s="4"/>
      <c r="B252" s="3"/>
      <c r="C252" s="3"/>
      <c r="D252" s="3"/>
      <c r="E252" s="3"/>
      <c r="F252" s="3"/>
      <c r="G252" s="3"/>
      <c r="H252" s="3"/>
      <c r="I252" s="3"/>
      <c r="J252" s="3"/>
      <c r="K252" s="3"/>
      <c r="L252" s="3"/>
      <c r="M252" s="3"/>
      <c r="N252" s="3"/>
      <c r="O252" s="3"/>
      <c r="P252" s="3"/>
      <c r="Q252" s="3"/>
      <c r="R252" s="3"/>
      <c r="S252" s="3"/>
      <c r="T252" s="3"/>
    </row>
    <row r="253" spans="1:20" ht="11.25" x14ac:dyDescent="0.2">
      <c r="A253" s="4"/>
    </row>
    <row r="254" spans="1:20" ht="11.25" x14ac:dyDescent="0.2">
      <c r="A254" s="4"/>
    </row>
    <row r="255" spans="1:20" ht="11.25" x14ac:dyDescent="0.2">
      <c r="A255" s="4"/>
    </row>
  </sheetData>
  <mergeCells count="16">
    <mergeCell ref="A136:B136"/>
    <mergeCell ref="B140:C140"/>
    <mergeCell ref="D140:E140"/>
    <mergeCell ref="F140:G140"/>
    <mergeCell ref="A91:T91"/>
    <mergeCell ref="A101:B101"/>
    <mergeCell ref="D101:I101"/>
    <mergeCell ref="L101:M101"/>
    <mergeCell ref="A102:B102"/>
    <mergeCell ref="N16:S16"/>
    <mergeCell ref="A1:B1"/>
    <mergeCell ref="H1:J1"/>
    <mergeCell ref="K4:M4"/>
    <mergeCell ref="K5:M5"/>
    <mergeCell ref="B16:G16"/>
    <mergeCell ref="H16:M16"/>
  </mergeCells>
  <conditionalFormatting sqref="F142">
    <cfRule type="cellIs" dxfId="41" priority="35" operator="equal">
      <formula>E142</formula>
    </cfRule>
  </conditionalFormatting>
  <conditionalFormatting sqref="E142:E143">
    <cfRule type="cellIs" dxfId="40" priority="34" operator="equal">
      <formula>D142</formula>
    </cfRule>
  </conditionalFormatting>
  <conditionalFormatting sqref="F142">
    <cfRule type="cellIs" dxfId="39" priority="31" operator="equal">
      <formula>E142</formula>
    </cfRule>
  </conditionalFormatting>
  <conditionalFormatting sqref="C142">
    <cfRule type="cellIs" dxfId="38" priority="32" operator="equal">
      <formula>B142</formula>
    </cfRule>
  </conditionalFormatting>
  <conditionalFormatting sqref="E142:E143">
    <cfRule type="cellIs" dxfId="37" priority="30" operator="equal">
      <formula>D142</formula>
    </cfRule>
  </conditionalFormatting>
  <conditionalFormatting sqref="F142">
    <cfRule type="cellIs" dxfId="36" priority="29" operator="equal">
      <formula>E142</formula>
    </cfRule>
  </conditionalFormatting>
  <conditionalFormatting sqref="C142">
    <cfRule type="cellIs" dxfId="35" priority="28" operator="equal">
      <formula>B142</formula>
    </cfRule>
  </conditionalFormatting>
  <conditionalFormatting sqref="D142">
    <cfRule type="cellIs" dxfId="34" priority="27" operator="equal">
      <formula>C142</formula>
    </cfRule>
  </conditionalFormatting>
  <conditionalFormatting sqref="E142:E143">
    <cfRule type="cellIs" dxfId="33" priority="26" operator="equal">
      <formula>D142</formula>
    </cfRule>
  </conditionalFormatting>
  <conditionalFormatting sqref="C142:C148 C154">
    <cfRule type="cellIs" dxfId="32" priority="24" operator="equal">
      <formula>B142</formula>
    </cfRule>
  </conditionalFormatting>
  <conditionalFormatting sqref="D142:E148 D154:E154">
    <cfRule type="cellIs" dxfId="31" priority="36" operator="equal">
      <formula>C142</formula>
    </cfRule>
  </conditionalFormatting>
  <conditionalFormatting sqref="F143:F148 F154">
    <cfRule type="cellIs" dxfId="30" priority="25" operator="equal">
      <formula>E143</formula>
    </cfRule>
    <cfRule type="cellIs" dxfId="29" priority="33" operator="equal">
      <formula>G143</formula>
    </cfRule>
  </conditionalFormatting>
  <conditionalFormatting sqref="D142">
    <cfRule type="cellIs" dxfId="28" priority="37" operator="equal">
      <formula>C142</formula>
    </cfRule>
  </conditionalFormatting>
  <conditionalFormatting sqref="C149:C150">
    <cfRule type="cellIs" dxfId="27" priority="20" operator="equal">
      <formula>B149</formula>
    </cfRule>
  </conditionalFormatting>
  <conditionalFormatting sqref="D149:E150">
    <cfRule type="cellIs" dxfId="26" priority="23" operator="equal">
      <formula>C149</formula>
    </cfRule>
  </conditionalFormatting>
  <conditionalFormatting sqref="F149:F150">
    <cfRule type="cellIs" dxfId="25" priority="21" operator="equal">
      <formula>E149</formula>
    </cfRule>
    <cfRule type="cellIs" dxfId="24" priority="22" operator="equal">
      <formula>G149</formula>
    </cfRule>
  </conditionalFormatting>
  <conditionalFormatting sqref="C151">
    <cfRule type="cellIs" dxfId="23" priority="16" operator="equal">
      <formula>B151</formula>
    </cfRule>
  </conditionalFormatting>
  <conditionalFormatting sqref="D151:E151">
    <cfRule type="cellIs" dxfId="22" priority="19" operator="equal">
      <formula>C151</formula>
    </cfRule>
  </conditionalFormatting>
  <conditionalFormatting sqref="F151">
    <cfRule type="cellIs" dxfId="21" priority="17" operator="equal">
      <formula>E151</formula>
    </cfRule>
    <cfRule type="cellIs" dxfId="20" priority="18" operator="equal">
      <formula>G151</formula>
    </cfRule>
  </conditionalFormatting>
  <conditionalFormatting sqref="C152">
    <cfRule type="cellIs" dxfId="19" priority="12" operator="equal">
      <formula>B152</formula>
    </cfRule>
  </conditionalFormatting>
  <conditionalFormatting sqref="D152:E152">
    <cfRule type="cellIs" dxfId="18" priority="15" operator="equal">
      <formula>C152</formula>
    </cfRule>
  </conditionalFormatting>
  <conditionalFormatting sqref="F152">
    <cfRule type="cellIs" dxfId="17" priority="13" operator="equal">
      <formula>E152</formula>
    </cfRule>
    <cfRule type="cellIs" dxfId="16" priority="14" operator="equal">
      <formula>G152</formula>
    </cfRule>
  </conditionalFormatting>
  <conditionalFormatting sqref="C153">
    <cfRule type="cellIs" dxfId="15" priority="8" operator="equal">
      <formula>B153</formula>
    </cfRule>
  </conditionalFormatting>
  <conditionalFormatting sqref="D153:E153">
    <cfRule type="cellIs" dxfId="14" priority="11" operator="equal">
      <formula>C153</formula>
    </cfRule>
  </conditionalFormatting>
  <conditionalFormatting sqref="F153">
    <cfRule type="cellIs" dxfId="13" priority="9" operator="equal">
      <formula>E153</formula>
    </cfRule>
    <cfRule type="cellIs" dxfId="12" priority="10" operator="equal">
      <formula>G153</formula>
    </cfRule>
  </conditionalFormatting>
  <conditionalFormatting sqref="E155">
    <cfRule type="cellIs" dxfId="11" priority="6" operator="equal">
      <formula>D155</formula>
    </cfRule>
  </conditionalFormatting>
  <conditionalFormatting sqref="E155">
    <cfRule type="cellIs" dxfId="10" priority="4" operator="equal">
      <formula>D155</formula>
    </cfRule>
  </conditionalFormatting>
  <conditionalFormatting sqref="E155">
    <cfRule type="cellIs" dxfId="9" priority="3" operator="equal">
      <formula>D155</formula>
    </cfRule>
  </conditionalFormatting>
  <conditionalFormatting sqref="C155">
    <cfRule type="cellIs" dxfId="8" priority="1" operator="equal">
      <formula>B155</formula>
    </cfRule>
  </conditionalFormatting>
  <conditionalFormatting sqref="D155:E155">
    <cfRule type="cellIs" dxfId="7" priority="7" operator="equal">
      <formula>C155</formula>
    </cfRule>
  </conditionalFormatting>
  <conditionalFormatting sqref="F155">
    <cfRule type="cellIs" dxfId="6" priority="2" operator="equal">
      <formula>E155</formula>
    </cfRule>
    <cfRule type="cellIs" dxfId="5" priority="5" operator="equal">
      <formula>G155</formula>
    </cfRule>
  </conditionalFormatting>
  <hyperlinks>
    <hyperlink ref="H2" location="Inventory!A1" display="Inventory" xr:uid="{00000000-0004-0000-0300-000000000000}"/>
    <hyperlink ref="H3" location="'P3C FRU (Reserve) Standard (U) '!A156" display="AMFOM" xr:uid="{00000000-0004-0000-0300-000001000000}"/>
    <hyperlink ref="I140" location="Inventory!A1" display="Inventory" xr:uid="{00000000-0004-0000-0300-000002000000}"/>
    <hyperlink ref="I141" location="'P3C FRU (Reserve) Standard (U) '!A1" display="Top" xr:uid="{00000000-0004-0000-0300-000003000000}"/>
  </hyperlinks>
  <pageMargins left="0.7" right="0.7" top="0.75" bottom="0.75" header="0.3" footer="0.3"/>
  <pageSetup scale="29" fitToHeight="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41"/>
  <sheetViews>
    <sheetView showGridLines="0" zoomScaleNormal="100" zoomScaleSheetLayoutView="100" workbookViewId="0">
      <selection activeCell="G1" sqref="G1"/>
    </sheetView>
  </sheetViews>
  <sheetFormatPr defaultRowHeight="11.25" x14ac:dyDescent="0.2"/>
  <cols>
    <col min="1" max="1" width="40.42578125" style="363" bestFit="1" customWidth="1"/>
    <col min="2" max="2" width="7.42578125" style="363" customWidth="1"/>
    <col min="3" max="5" width="7.42578125" style="513" customWidth="1"/>
    <col min="6" max="6" width="5.7109375" style="513" customWidth="1"/>
    <col min="7" max="15" width="5.7109375" style="514" customWidth="1"/>
    <col min="16" max="17" width="5.7109375" style="515" customWidth="1"/>
    <col min="18" max="22" width="5.7109375" style="363" customWidth="1"/>
    <col min="23" max="25" width="14.28515625" style="363" customWidth="1"/>
    <col min="26" max="16384" width="9.140625" style="363"/>
  </cols>
  <sheetData>
    <row r="1" spans="1:47" s="507" customFormat="1" ht="18.75" x14ac:dyDescent="0.3">
      <c r="A1" s="696" t="s">
        <v>242</v>
      </c>
      <c r="B1" s="696"/>
      <c r="C1" s="696"/>
      <c r="D1" s="696"/>
      <c r="E1" s="696"/>
      <c r="F1" s="696"/>
      <c r="G1" s="506" t="s">
        <v>46</v>
      </c>
      <c r="I1" s="345" t="s">
        <v>42</v>
      </c>
      <c r="J1" s="697">
        <v>44835</v>
      </c>
      <c r="K1" s="697"/>
      <c r="N1" s="508"/>
      <c r="O1" s="508"/>
      <c r="P1" s="509"/>
      <c r="Q1" s="509"/>
      <c r="V1" s="558" t="s">
        <v>43</v>
      </c>
      <c r="W1" s="559">
        <v>13.03</v>
      </c>
    </row>
    <row r="2" spans="1:47" ht="12" x14ac:dyDescent="0.2">
      <c r="A2" s="510"/>
      <c r="B2" s="511" t="s">
        <v>243</v>
      </c>
      <c r="C2" s="512" t="s">
        <v>244</v>
      </c>
    </row>
    <row r="3" spans="1:47" ht="12" x14ac:dyDescent="0.2">
      <c r="A3" s="516" t="s">
        <v>245</v>
      </c>
      <c r="B3" s="517">
        <v>2</v>
      </c>
      <c r="C3" s="655">
        <v>12</v>
      </c>
    </row>
    <row r="4" spans="1:47" ht="12" x14ac:dyDescent="0.2">
      <c r="A4" s="516"/>
      <c r="B4" s="517"/>
      <c r="C4" s="655"/>
    </row>
    <row r="5" spans="1:47" x14ac:dyDescent="0.2">
      <c r="A5" s="510"/>
      <c r="B5" s="518"/>
      <c r="C5" s="363"/>
    </row>
    <row r="6" spans="1:47" x14ac:dyDescent="0.2">
      <c r="A6" s="510"/>
      <c r="B6" s="518"/>
      <c r="C6" s="363"/>
    </row>
    <row r="7" spans="1:47" ht="56.25" customHeight="1" x14ac:dyDescent="0.2">
      <c r="A7" s="223" t="s">
        <v>60</v>
      </c>
      <c r="B7" s="477" t="s">
        <v>246</v>
      </c>
      <c r="C7" s="519" t="s">
        <v>246</v>
      </c>
      <c r="F7" s="363"/>
    </row>
    <row r="8" spans="1:47" ht="12" x14ac:dyDescent="0.2">
      <c r="A8" s="223" t="s">
        <v>65</v>
      </c>
      <c r="B8" s="520" t="s">
        <v>247</v>
      </c>
      <c r="C8" s="521" t="s">
        <v>248</v>
      </c>
      <c r="F8" s="363"/>
    </row>
    <row r="9" spans="1:47" s="522" customFormat="1" ht="12" x14ac:dyDescent="0.2">
      <c r="A9" s="223" t="s">
        <v>85</v>
      </c>
      <c r="B9" s="478">
        <v>1</v>
      </c>
      <c r="C9" s="478">
        <v>2</v>
      </c>
      <c r="D9" s="513"/>
      <c r="E9" s="513"/>
      <c r="G9" s="514"/>
      <c r="H9" s="514"/>
      <c r="I9" s="514"/>
      <c r="J9" s="514"/>
      <c r="K9" s="514"/>
      <c r="L9" s="514"/>
      <c r="M9" s="514"/>
      <c r="N9" s="514"/>
      <c r="O9" s="514"/>
      <c r="P9" s="523"/>
      <c r="Q9" s="523"/>
    </row>
    <row r="10" spans="1:47" s="522" customFormat="1" ht="12" x14ac:dyDescent="0.2">
      <c r="A10" s="223" t="s">
        <v>86</v>
      </c>
      <c r="B10" s="698" t="s">
        <v>246</v>
      </c>
      <c r="C10" s="699"/>
      <c r="D10" s="513"/>
      <c r="E10" s="513"/>
      <c r="G10" s="514"/>
      <c r="H10" s="514"/>
      <c r="I10" s="514"/>
      <c r="J10" s="514"/>
      <c r="K10" s="514"/>
      <c r="L10" s="514"/>
      <c r="M10" s="514"/>
      <c r="N10" s="514"/>
      <c r="O10" s="514"/>
      <c r="P10" s="523"/>
      <c r="Q10" s="523"/>
    </row>
    <row r="11" spans="1:47" s="522" customFormat="1" ht="12.75" x14ac:dyDescent="0.2">
      <c r="A11" s="222" t="s">
        <v>104</v>
      </c>
      <c r="B11" s="653"/>
      <c r="C11" s="654"/>
      <c r="D11" s="513"/>
      <c r="E11" s="513"/>
      <c r="G11" s="514"/>
      <c r="H11" s="524"/>
      <c r="I11" s="514"/>
      <c r="J11" s="514"/>
      <c r="K11" s="514"/>
      <c r="L11" s="514"/>
      <c r="M11" s="514"/>
      <c r="N11" s="514"/>
      <c r="O11" s="514"/>
      <c r="P11" s="523"/>
      <c r="Q11" s="523"/>
    </row>
    <row r="12" spans="1:47" s="522" customFormat="1" ht="12" x14ac:dyDescent="0.2">
      <c r="A12" s="223" t="s">
        <v>105</v>
      </c>
      <c r="B12" s="525" t="s">
        <v>231</v>
      </c>
      <c r="C12" s="525" t="s">
        <v>231</v>
      </c>
      <c r="D12" s="513"/>
      <c r="E12" s="513"/>
      <c r="G12" s="514"/>
      <c r="H12" s="526"/>
      <c r="I12" s="514"/>
      <c r="J12" s="514"/>
      <c r="K12" s="514"/>
      <c r="L12" s="514"/>
      <c r="M12" s="514"/>
      <c r="N12" s="514"/>
      <c r="O12" s="514"/>
      <c r="P12" s="523"/>
      <c r="Q12" s="523"/>
    </row>
    <row r="13" spans="1:47" s="522" customFormat="1" ht="12" x14ac:dyDescent="0.2">
      <c r="A13" s="223" t="s">
        <v>106</v>
      </c>
      <c r="B13" s="527">
        <v>0.75</v>
      </c>
      <c r="C13" s="525">
        <v>0.75</v>
      </c>
      <c r="D13" s="513"/>
      <c r="E13" s="513"/>
      <c r="G13" s="514"/>
      <c r="H13" s="528"/>
      <c r="I13" s="514"/>
      <c r="J13" s="514"/>
      <c r="K13" s="514"/>
      <c r="L13" s="514"/>
      <c r="M13" s="514"/>
      <c r="N13" s="514"/>
      <c r="O13" s="514"/>
      <c r="P13" s="523"/>
      <c r="Q13" s="523"/>
    </row>
    <row r="14" spans="1:47" s="522" customFormat="1" ht="12" x14ac:dyDescent="0.2">
      <c r="A14" s="571" t="s">
        <v>107</v>
      </c>
      <c r="B14" s="527">
        <v>0.25</v>
      </c>
      <c r="C14" s="525">
        <v>0.25</v>
      </c>
      <c r="D14" s="513"/>
      <c r="E14" s="513"/>
      <c r="G14" s="514"/>
      <c r="H14" s="528"/>
      <c r="I14" s="514"/>
      <c r="J14" s="514"/>
      <c r="K14" s="514"/>
      <c r="L14" s="514"/>
      <c r="M14" s="514"/>
      <c r="N14" s="514"/>
      <c r="O14" s="514"/>
      <c r="P14" s="523"/>
      <c r="Q14" s="523"/>
    </row>
    <row r="15" spans="1:47" ht="12.75" x14ac:dyDescent="0.2">
      <c r="A15" s="529" t="s">
        <v>249</v>
      </c>
      <c r="B15" s="530" t="s">
        <v>243</v>
      </c>
      <c r="C15" s="531" t="s">
        <v>244</v>
      </c>
      <c r="D15" s="532"/>
      <c r="E15" s="532"/>
      <c r="F15" s="363"/>
      <c r="G15" s="533"/>
      <c r="H15" s="363"/>
      <c r="I15" s="533"/>
      <c r="J15" s="533"/>
      <c r="K15" s="533"/>
      <c r="L15" s="533"/>
      <c r="M15" s="533"/>
      <c r="N15" s="533"/>
      <c r="O15" s="533"/>
      <c r="P15" s="534"/>
      <c r="Q15" s="534"/>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row>
    <row r="16" spans="1:47" s="540" customFormat="1" ht="12" x14ac:dyDescent="0.2">
      <c r="A16" s="213" t="s">
        <v>108</v>
      </c>
      <c r="B16" s="535">
        <v>1</v>
      </c>
      <c r="C16" s="536">
        <v>12</v>
      </c>
      <c r="D16" s="537"/>
      <c r="E16" s="537"/>
      <c r="F16" s="537"/>
      <c r="G16" s="538"/>
      <c r="H16" s="538"/>
      <c r="I16" s="538"/>
      <c r="J16" s="538"/>
      <c r="K16" s="538"/>
      <c r="L16" s="538"/>
      <c r="M16" s="538"/>
      <c r="N16" s="538"/>
      <c r="O16" s="538"/>
      <c r="P16" s="539"/>
      <c r="Q16" s="539"/>
    </row>
    <row r="17" spans="1:47" ht="12" x14ac:dyDescent="0.2">
      <c r="A17" s="213" t="s">
        <v>109</v>
      </c>
      <c r="B17" s="536">
        <f>B16*B13</f>
        <v>0.75</v>
      </c>
      <c r="C17" s="536">
        <f>C16*C13</f>
        <v>9</v>
      </c>
      <c r="D17" s="532"/>
      <c r="E17" s="532"/>
      <c r="F17" s="532"/>
      <c r="G17" s="533"/>
      <c r="H17" s="533"/>
      <c r="I17" s="533"/>
      <c r="J17" s="533"/>
      <c r="K17" s="533"/>
      <c r="L17" s="533"/>
      <c r="M17" s="533"/>
      <c r="N17" s="533"/>
      <c r="O17" s="533"/>
      <c r="P17" s="534"/>
      <c r="Q17" s="534"/>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row>
    <row r="18" spans="1:47" ht="12" x14ac:dyDescent="0.2">
      <c r="A18" s="569" t="s">
        <v>110</v>
      </c>
      <c r="B18" s="570">
        <f>B16*B14</f>
        <v>0.25</v>
      </c>
      <c r="C18" s="564">
        <f>C16*C14</f>
        <v>3</v>
      </c>
      <c r="D18" s="532"/>
      <c r="E18" s="532"/>
      <c r="F18" s="532"/>
      <c r="G18" s="533"/>
      <c r="H18" s="533"/>
      <c r="I18" s="533"/>
      <c r="J18" s="533"/>
      <c r="K18" s="533"/>
      <c r="L18" s="533"/>
      <c r="M18" s="533"/>
      <c r="N18" s="533"/>
      <c r="O18" s="533"/>
      <c r="P18" s="534"/>
      <c r="Q18" s="534"/>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row>
    <row r="19" spans="1:47" ht="12" x14ac:dyDescent="0.2">
      <c r="A19" s="565" t="s">
        <v>112</v>
      </c>
      <c r="B19" s="566"/>
      <c r="C19" s="564">
        <v>3</v>
      </c>
      <c r="D19" s="532"/>
      <c r="E19" s="532"/>
      <c r="F19" s="532"/>
      <c r="G19" s="533"/>
      <c r="H19" s="533"/>
      <c r="I19" s="533"/>
      <c r="J19" s="533"/>
      <c r="K19" s="533"/>
      <c r="L19" s="533"/>
      <c r="M19" s="533"/>
      <c r="N19" s="533"/>
      <c r="O19" s="533"/>
      <c r="P19" s="534"/>
      <c r="Q19" s="534"/>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row>
    <row r="20" spans="1:47" ht="12" x14ac:dyDescent="0.2">
      <c r="A20" s="565" t="s">
        <v>113</v>
      </c>
      <c r="B20" s="567"/>
      <c r="C20" s="564">
        <v>3</v>
      </c>
      <c r="D20" s="532"/>
      <c r="E20" s="532"/>
      <c r="F20" s="532"/>
      <c r="G20" s="533"/>
      <c r="H20" s="533"/>
      <c r="I20" s="533"/>
      <c r="J20" s="533"/>
      <c r="K20" s="533"/>
      <c r="L20" s="533"/>
      <c r="M20" s="533"/>
      <c r="N20" s="533"/>
      <c r="O20" s="533"/>
      <c r="P20" s="534"/>
      <c r="Q20" s="534"/>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row>
    <row r="21" spans="1:47" ht="12" x14ac:dyDescent="0.2">
      <c r="A21" s="565" t="s">
        <v>114</v>
      </c>
      <c r="B21" s="567"/>
      <c r="C21" s="564">
        <v>3</v>
      </c>
      <c r="D21" s="532"/>
      <c r="E21" s="532"/>
      <c r="F21" s="532"/>
      <c r="G21" s="533"/>
      <c r="H21" s="533"/>
      <c r="I21" s="533"/>
      <c r="J21" s="533"/>
      <c r="K21" s="533"/>
      <c r="L21" s="533"/>
      <c r="M21" s="533"/>
      <c r="N21" s="533"/>
      <c r="O21" s="533"/>
      <c r="P21" s="534"/>
      <c r="Q21" s="534"/>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row>
    <row r="22" spans="1:47" ht="12" x14ac:dyDescent="0.2">
      <c r="A22" s="565" t="s">
        <v>115</v>
      </c>
      <c r="B22" s="567"/>
      <c r="C22" s="564">
        <v>3</v>
      </c>
      <c r="D22" s="532"/>
      <c r="E22" s="532"/>
      <c r="F22" s="532"/>
      <c r="G22" s="533"/>
      <c r="H22" s="533"/>
      <c r="I22" s="533"/>
      <c r="J22" s="533"/>
      <c r="K22" s="533"/>
      <c r="L22" s="533"/>
      <c r="M22" s="533"/>
      <c r="N22" s="533"/>
      <c r="O22" s="533"/>
      <c r="P22" s="534"/>
      <c r="Q22" s="534"/>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row>
    <row r="23" spans="1:47" ht="12" x14ac:dyDescent="0.2">
      <c r="A23" s="565" t="s">
        <v>116</v>
      </c>
      <c r="B23" s="567"/>
      <c r="C23" s="564">
        <v>3</v>
      </c>
      <c r="D23" s="532"/>
      <c r="E23" s="532"/>
      <c r="F23" s="532"/>
      <c r="G23" s="533"/>
      <c r="H23" s="533"/>
      <c r="I23" s="533"/>
      <c r="J23" s="533"/>
      <c r="K23" s="533"/>
      <c r="L23" s="533"/>
      <c r="M23" s="533"/>
      <c r="N23" s="533"/>
      <c r="O23" s="533"/>
      <c r="P23" s="534"/>
      <c r="Q23" s="534"/>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row>
    <row r="24" spans="1:47" ht="12" x14ac:dyDescent="0.2">
      <c r="A24" s="565" t="s">
        <v>117</v>
      </c>
      <c r="B24" s="567"/>
      <c r="C24" s="564">
        <v>3</v>
      </c>
      <c r="D24" s="532"/>
      <c r="E24" s="532"/>
      <c r="F24" s="532"/>
      <c r="G24" s="533"/>
      <c r="H24" s="533"/>
      <c r="I24" s="533"/>
      <c r="J24" s="533"/>
      <c r="K24" s="533"/>
      <c r="L24" s="533"/>
      <c r="M24" s="533"/>
      <c r="N24" s="533"/>
      <c r="O24" s="533"/>
      <c r="P24" s="534"/>
      <c r="Q24" s="534"/>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row>
    <row r="25" spans="1:47" ht="12" x14ac:dyDescent="0.2">
      <c r="A25" s="565" t="s">
        <v>118</v>
      </c>
      <c r="B25" s="567"/>
      <c r="C25" s="564">
        <v>3</v>
      </c>
      <c r="D25" s="532"/>
      <c r="E25" s="532"/>
      <c r="F25" s="532"/>
      <c r="G25" s="533"/>
      <c r="H25" s="533"/>
      <c r="I25" s="533"/>
      <c r="J25" s="533"/>
      <c r="K25" s="533"/>
      <c r="L25" s="533"/>
      <c r="M25" s="533"/>
      <c r="N25" s="533"/>
      <c r="O25" s="533"/>
      <c r="P25" s="534"/>
      <c r="Q25" s="534"/>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row>
    <row r="26" spans="1:47" ht="12" x14ac:dyDescent="0.2">
      <c r="A26" s="565" t="s">
        <v>119</v>
      </c>
      <c r="B26" s="567"/>
      <c r="C26" s="564">
        <v>3</v>
      </c>
      <c r="D26" s="532"/>
      <c r="E26" s="532"/>
      <c r="F26" s="532"/>
      <c r="G26" s="533"/>
      <c r="H26" s="533"/>
      <c r="I26" s="533"/>
      <c r="J26" s="533"/>
      <c r="K26" s="533"/>
      <c r="L26" s="533"/>
      <c r="M26" s="533"/>
      <c r="N26" s="533"/>
      <c r="O26" s="533"/>
      <c r="P26" s="534"/>
      <c r="Q26" s="534"/>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row>
    <row r="27" spans="1:47" ht="12" x14ac:dyDescent="0.2">
      <c r="A27" s="565" t="s">
        <v>120</v>
      </c>
      <c r="B27" s="567"/>
      <c r="C27" s="564">
        <v>3</v>
      </c>
      <c r="D27" s="532"/>
      <c r="E27" s="532"/>
      <c r="F27" s="532"/>
      <c r="G27" s="533"/>
      <c r="H27" s="533"/>
      <c r="I27" s="533"/>
      <c r="J27" s="533"/>
      <c r="K27" s="533"/>
      <c r="L27" s="533"/>
      <c r="M27" s="533"/>
      <c r="N27" s="533"/>
      <c r="O27" s="533"/>
      <c r="P27" s="534"/>
      <c r="Q27" s="534"/>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row>
    <row r="28" spans="1:47" ht="12.75" x14ac:dyDescent="0.2">
      <c r="A28" s="476" t="s">
        <v>121</v>
      </c>
      <c r="B28" s="568"/>
      <c r="C28" s="564">
        <v>9</v>
      </c>
      <c r="D28" s="532"/>
      <c r="E28" s="532"/>
      <c r="F28" s="532"/>
      <c r="G28" s="533"/>
      <c r="H28" s="533"/>
      <c r="I28" s="533"/>
      <c r="J28" s="533"/>
      <c r="K28" s="533"/>
      <c r="L28" s="533"/>
      <c r="M28" s="533"/>
      <c r="N28" s="533"/>
      <c r="O28" s="533"/>
      <c r="P28" s="534"/>
      <c r="Q28" s="534"/>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row>
    <row r="29" spans="1:47" ht="12.75" x14ac:dyDescent="0.2">
      <c r="A29" s="468" t="s">
        <v>145</v>
      </c>
      <c r="B29" s="410"/>
      <c r="C29" s="541"/>
      <c r="D29" s="532"/>
      <c r="E29" s="532"/>
      <c r="F29" s="532"/>
      <c r="G29" s="533"/>
      <c r="H29" s="533"/>
      <c r="I29" s="533"/>
      <c r="J29" s="533"/>
      <c r="K29" s="533"/>
      <c r="L29" s="533"/>
      <c r="M29" s="533"/>
      <c r="N29" s="533"/>
      <c r="O29" s="533"/>
      <c r="P29" s="534"/>
      <c r="Q29" s="534"/>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row>
    <row r="30" spans="1:47" s="540" customFormat="1" ht="12" x14ac:dyDescent="0.2">
      <c r="A30" s="213" t="s">
        <v>146</v>
      </c>
      <c r="B30" s="475">
        <v>0.8</v>
      </c>
      <c r="C30" s="475">
        <v>0.8</v>
      </c>
      <c r="D30" s="537"/>
      <c r="E30" s="537"/>
      <c r="F30" s="537"/>
      <c r="G30" s="538"/>
      <c r="H30" s="538"/>
      <c r="I30" s="538"/>
      <c r="J30" s="538"/>
      <c r="K30" s="538"/>
      <c r="L30" s="538"/>
      <c r="M30" s="538"/>
      <c r="N30" s="538"/>
      <c r="O30" s="538"/>
      <c r="P30" s="539"/>
      <c r="Q30" s="539"/>
    </row>
    <row r="31" spans="1:47" ht="12" x14ac:dyDescent="0.2">
      <c r="A31" s="213" t="s">
        <v>147</v>
      </c>
      <c r="B31" s="475">
        <v>0.8</v>
      </c>
      <c r="C31" s="475">
        <v>0.8</v>
      </c>
      <c r="D31" s="532"/>
      <c r="E31" s="532"/>
      <c r="F31" s="532"/>
      <c r="G31" s="533"/>
      <c r="H31" s="533"/>
      <c r="I31" s="533"/>
      <c r="J31" s="533"/>
      <c r="K31" s="533"/>
      <c r="L31" s="533"/>
      <c r="M31" s="533"/>
      <c r="N31" s="533"/>
      <c r="O31" s="533"/>
      <c r="P31" s="534"/>
      <c r="Q31" s="534"/>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row>
    <row r="32" spans="1:47" ht="12" x14ac:dyDescent="0.2">
      <c r="A32" s="213" t="s">
        <v>148</v>
      </c>
      <c r="B32" s="475">
        <v>0.75</v>
      </c>
      <c r="C32" s="475">
        <v>0.75</v>
      </c>
      <c r="D32" s="532"/>
      <c r="E32" s="532"/>
      <c r="F32" s="532"/>
      <c r="G32" s="533"/>
      <c r="H32" s="533"/>
      <c r="I32" s="533"/>
      <c r="J32" s="533"/>
      <c r="K32" s="533"/>
      <c r="L32" s="533"/>
      <c r="M32" s="533"/>
      <c r="N32" s="533"/>
      <c r="O32" s="533"/>
      <c r="P32" s="534"/>
      <c r="Q32" s="534"/>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row>
    <row r="33" spans="1:47" x14ac:dyDescent="0.2">
      <c r="A33" s="410"/>
      <c r="B33" s="410"/>
      <c r="C33" s="532"/>
      <c r="D33" s="532"/>
      <c r="E33" s="532"/>
      <c r="F33" s="532"/>
      <c r="G33" s="533"/>
      <c r="H33" s="533"/>
      <c r="I33" s="533"/>
      <c r="J33" s="533"/>
      <c r="K33" s="533"/>
      <c r="L33" s="533"/>
      <c r="M33" s="533"/>
      <c r="N33" s="533"/>
      <c r="O33" s="533"/>
      <c r="P33" s="534"/>
      <c r="Q33" s="534"/>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c r="AT33" s="410"/>
      <c r="AU33" s="410"/>
    </row>
    <row r="34" spans="1:47" x14ac:dyDescent="0.2">
      <c r="A34" s="410"/>
      <c r="B34" s="410"/>
      <c r="C34" s="532"/>
      <c r="D34" s="532"/>
      <c r="E34" s="532"/>
      <c r="F34" s="532"/>
      <c r="G34" s="533"/>
      <c r="H34" s="533"/>
      <c r="I34" s="533"/>
      <c r="J34" s="533"/>
      <c r="K34" s="533"/>
      <c r="L34" s="533"/>
      <c r="M34" s="533"/>
      <c r="N34" s="533"/>
      <c r="O34" s="533"/>
      <c r="P34" s="534"/>
      <c r="Q34" s="534"/>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c r="AT34" s="410"/>
      <c r="AU34" s="410"/>
    </row>
    <row r="35" spans="1:47" x14ac:dyDescent="0.2">
      <c r="A35" s="410"/>
      <c r="B35" s="410"/>
      <c r="C35" s="532"/>
      <c r="D35" s="532"/>
      <c r="E35" s="532"/>
      <c r="F35" s="532"/>
      <c r="G35" s="533"/>
      <c r="H35" s="533"/>
      <c r="I35" s="533"/>
      <c r="J35" s="533"/>
      <c r="K35" s="533"/>
      <c r="L35" s="533"/>
      <c r="M35" s="533"/>
      <c r="N35" s="533"/>
      <c r="O35" s="533"/>
      <c r="P35" s="534"/>
      <c r="Q35" s="534"/>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row>
    <row r="36" spans="1:47" x14ac:dyDescent="0.2">
      <c r="A36" s="410"/>
      <c r="B36" s="410"/>
      <c r="C36" s="532"/>
      <c r="D36" s="532"/>
      <c r="E36" s="532"/>
      <c r="F36" s="532"/>
      <c r="G36" s="533"/>
      <c r="H36" s="533"/>
      <c r="I36" s="533"/>
      <c r="J36" s="533"/>
      <c r="K36" s="533"/>
      <c r="L36" s="533"/>
      <c r="M36" s="533"/>
      <c r="N36" s="533"/>
      <c r="O36" s="533"/>
      <c r="P36" s="534"/>
      <c r="Q36" s="534"/>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row>
    <row r="37" spans="1:47" x14ac:dyDescent="0.2">
      <c r="A37" s="410"/>
      <c r="B37" s="410"/>
      <c r="C37" s="532"/>
      <c r="D37" s="532"/>
      <c r="E37" s="532"/>
      <c r="F37" s="532"/>
      <c r="G37" s="533"/>
      <c r="H37" s="533"/>
      <c r="I37" s="533"/>
      <c r="J37" s="533"/>
      <c r="K37" s="533"/>
      <c r="L37" s="533"/>
      <c r="M37" s="533"/>
      <c r="N37" s="533"/>
      <c r="O37" s="533"/>
      <c r="P37" s="534"/>
      <c r="Q37" s="534"/>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row>
    <row r="38" spans="1:47" x14ac:dyDescent="0.2">
      <c r="A38" s="410"/>
      <c r="B38" s="410"/>
      <c r="C38" s="532"/>
      <c r="D38" s="532"/>
      <c r="E38" s="532"/>
      <c r="F38" s="532"/>
      <c r="G38" s="533"/>
      <c r="H38" s="533"/>
      <c r="I38" s="533"/>
      <c r="J38" s="533"/>
      <c r="K38" s="533"/>
      <c r="L38" s="533"/>
      <c r="M38" s="533"/>
      <c r="N38" s="533"/>
      <c r="O38" s="533"/>
      <c r="P38" s="534"/>
      <c r="Q38" s="534"/>
      <c r="R38" s="410"/>
      <c r="S38" s="410"/>
      <c r="T38" s="410"/>
      <c r="U38" s="410"/>
      <c r="V38" s="410"/>
      <c r="W38" s="410"/>
      <c r="X38" s="410"/>
      <c r="Y38" s="410"/>
      <c r="Z38" s="410"/>
      <c r="AA38" s="410"/>
      <c r="AB38" s="410"/>
      <c r="AC38" s="410"/>
      <c r="AD38" s="410"/>
      <c r="AE38" s="410"/>
      <c r="AF38" s="410"/>
      <c r="AG38" s="410"/>
      <c r="AH38" s="410"/>
      <c r="AI38" s="410"/>
      <c r="AJ38" s="410"/>
      <c r="AK38" s="410"/>
      <c r="AL38" s="410"/>
      <c r="AM38" s="410"/>
      <c r="AN38" s="410"/>
      <c r="AO38" s="410"/>
      <c r="AP38" s="410"/>
      <c r="AQ38" s="410"/>
      <c r="AR38" s="410"/>
      <c r="AS38" s="410"/>
      <c r="AT38" s="410"/>
      <c r="AU38" s="410"/>
    </row>
    <row r="39" spans="1:47" x14ac:dyDescent="0.2">
      <c r="A39" s="410"/>
      <c r="B39" s="410"/>
      <c r="C39" s="532"/>
      <c r="D39" s="532"/>
      <c r="E39" s="532"/>
      <c r="F39" s="532"/>
      <c r="G39" s="533"/>
      <c r="H39" s="533"/>
      <c r="I39" s="533"/>
      <c r="J39" s="533"/>
      <c r="K39" s="533"/>
      <c r="L39" s="533"/>
      <c r="M39" s="533"/>
      <c r="N39" s="533"/>
      <c r="O39" s="533"/>
      <c r="P39" s="534"/>
      <c r="Q39" s="534"/>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0"/>
      <c r="AU39" s="410"/>
    </row>
    <row r="40" spans="1:47" x14ac:dyDescent="0.2">
      <c r="A40" s="410"/>
      <c r="B40" s="410"/>
      <c r="C40" s="532"/>
      <c r="D40" s="532"/>
      <c r="E40" s="532"/>
      <c r="F40" s="532"/>
      <c r="G40" s="533"/>
      <c r="H40" s="533"/>
      <c r="I40" s="533"/>
      <c r="J40" s="533"/>
      <c r="K40" s="533"/>
      <c r="L40" s="533"/>
      <c r="M40" s="533"/>
      <c r="N40" s="533"/>
      <c r="O40" s="533"/>
      <c r="P40" s="534"/>
      <c r="Q40" s="534"/>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row>
    <row r="41" spans="1:47" x14ac:dyDescent="0.2">
      <c r="A41" s="410"/>
      <c r="B41" s="410"/>
      <c r="C41" s="532"/>
      <c r="D41" s="532"/>
      <c r="E41" s="532"/>
      <c r="F41" s="532"/>
      <c r="G41" s="533"/>
      <c r="H41" s="533"/>
      <c r="I41" s="533"/>
      <c r="J41" s="533"/>
      <c r="K41" s="533"/>
      <c r="L41" s="533"/>
      <c r="M41" s="533"/>
      <c r="N41" s="533"/>
      <c r="O41" s="533"/>
      <c r="P41" s="534"/>
      <c r="Q41" s="534"/>
      <c r="R41" s="410"/>
      <c r="S41" s="410"/>
      <c r="T41" s="410"/>
      <c r="U41" s="410"/>
      <c r="V41" s="410"/>
      <c r="W41" s="410"/>
      <c r="X41" s="410"/>
      <c r="Y41" s="410"/>
      <c r="Z41" s="410"/>
      <c r="AA41" s="410"/>
      <c r="AB41" s="410"/>
      <c r="AC41" s="410"/>
      <c r="AD41" s="410"/>
      <c r="AE41" s="410"/>
      <c r="AF41" s="410"/>
      <c r="AG41" s="410"/>
      <c r="AH41" s="410"/>
      <c r="AI41" s="410"/>
      <c r="AJ41" s="410"/>
      <c r="AK41" s="410"/>
      <c r="AL41" s="410"/>
      <c r="AM41" s="410"/>
      <c r="AN41" s="410"/>
      <c r="AO41" s="410"/>
      <c r="AP41" s="410"/>
      <c r="AQ41" s="410"/>
      <c r="AR41" s="410"/>
      <c r="AS41" s="410"/>
      <c r="AT41" s="410"/>
      <c r="AU41" s="410"/>
    </row>
  </sheetData>
  <mergeCells count="3">
    <mergeCell ref="A1:F1"/>
    <mergeCell ref="J1:K1"/>
    <mergeCell ref="B10:C10"/>
  </mergeCells>
  <hyperlinks>
    <hyperlink ref="G1" location="Inventory!A1" display="Inventory" xr:uid="{00000000-0004-0000-0400-000000000000}"/>
  </hyperlinks>
  <pageMargins left="0.75" right="0.75" top="1" bottom="1" header="0.5" footer="0.5"/>
  <pageSetup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2"/>
  <sheetViews>
    <sheetView showGridLines="0" zoomScaleNormal="100" zoomScaleSheetLayoutView="100" workbookViewId="0">
      <selection activeCell="C16" sqref="C16"/>
    </sheetView>
  </sheetViews>
  <sheetFormatPr defaultRowHeight="11.25" x14ac:dyDescent="0.2"/>
  <cols>
    <col min="1" max="1" width="45.5703125" style="363" bestFit="1" customWidth="1"/>
    <col min="2" max="2" width="7.42578125" style="363" customWidth="1"/>
    <col min="3" max="8" width="7.42578125" style="513" customWidth="1"/>
    <col min="9" max="13" width="5.7109375" style="513" customWidth="1"/>
    <col min="14" max="22" width="5.7109375" style="363" customWidth="1"/>
    <col min="23" max="23" width="8.42578125" style="363" bestFit="1" customWidth="1"/>
    <col min="24" max="27" width="5.7109375" style="363" customWidth="1"/>
    <col min="28" max="16384" width="9.140625" style="363"/>
  </cols>
  <sheetData>
    <row r="1" spans="1:28" s="507" customFormat="1" ht="18.75" x14ac:dyDescent="0.3">
      <c r="A1" s="696" t="s">
        <v>250</v>
      </c>
      <c r="B1" s="696"/>
      <c r="C1" s="696"/>
      <c r="D1" s="696"/>
      <c r="E1" s="597" t="s">
        <v>46</v>
      </c>
      <c r="G1" s="345" t="s">
        <v>42</v>
      </c>
      <c r="H1" s="697">
        <v>44835</v>
      </c>
      <c r="I1" s="697"/>
      <c r="L1" s="598"/>
      <c r="M1" s="598"/>
      <c r="V1" s="344" t="s">
        <v>43</v>
      </c>
      <c r="W1" s="599">
        <v>13.04</v>
      </c>
    </row>
    <row r="2" spans="1:28" s="512" customFormat="1" ht="12" x14ac:dyDescent="0.2">
      <c r="A2" s="600"/>
      <c r="B2" s="700" t="s">
        <v>251</v>
      </c>
      <c r="C2" s="700"/>
      <c r="D2" s="600"/>
      <c r="E2" s="601"/>
      <c r="G2" s="516"/>
      <c r="H2" s="602"/>
      <c r="I2" s="602"/>
      <c r="L2" s="655"/>
      <c r="M2" s="655"/>
      <c r="AA2" s="516"/>
      <c r="AB2" s="600"/>
    </row>
    <row r="3" spans="1:28" s="512" customFormat="1" ht="12" x14ac:dyDescent="0.2">
      <c r="A3" s="516" t="s">
        <v>252</v>
      </c>
      <c r="B3" s="603" t="s">
        <v>244</v>
      </c>
      <c r="C3" s="655" t="s">
        <v>243</v>
      </c>
      <c r="D3" s="655"/>
      <c r="E3" s="655"/>
      <c r="F3" s="655"/>
      <c r="G3" s="655"/>
      <c r="H3" s="655"/>
      <c r="I3" s="655"/>
      <c r="J3" s="655"/>
      <c r="K3" s="655"/>
      <c r="L3" s="655"/>
      <c r="M3" s="655"/>
    </row>
    <row r="4" spans="1:28" s="512" customFormat="1" ht="12" x14ac:dyDescent="0.2">
      <c r="A4" s="516" t="s">
        <v>253</v>
      </c>
      <c r="B4" s="603">
        <v>2</v>
      </c>
      <c r="C4" s="655"/>
      <c r="D4" s="655"/>
      <c r="E4" s="655"/>
      <c r="F4" s="655"/>
      <c r="G4" s="655"/>
      <c r="H4" s="655"/>
      <c r="I4" s="655"/>
      <c r="J4" s="655"/>
      <c r="K4" s="655"/>
      <c r="L4" s="655"/>
      <c r="M4" s="655"/>
    </row>
    <row r="5" spans="1:28" s="512" customFormat="1" ht="12" x14ac:dyDescent="0.2">
      <c r="A5" s="516" t="s">
        <v>254</v>
      </c>
      <c r="B5" s="603">
        <v>2</v>
      </c>
      <c r="C5" s="655"/>
      <c r="D5" s="655"/>
      <c r="E5" s="655"/>
      <c r="F5" s="655"/>
      <c r="G5" s="655"/>
      <c r="H5" s="655"/>
      <c r="I5" s="655"/>
      <c r="J5" s="655"/>
      <c r="K5" s="655"/>
      <c r="L5" s="655"/>
      <c r="M5" s="655"/>
    </row>
    <row r="6" spans="1:28" s="512" customFormat="1" ht="12" x14ac:dyDescent="0.2">
      <c r="A6" s="516" t="s">
        <v>255</v>
      </c>
      <c r="B6" s="603"/>
      <c r="C6" s="655">
        <v>3</v>
      </c>
      <c r="D6" s="655"/>
      <c r="E6" s="655"/>
      <c r="F6" s="655"/>
      <c r="G6" s="655"/>
      <c r="H6" s="655"/>
      <c r="I6" s="655"/>
      <c r="J6" s="655"/>
      <c r="K6" s="655"/>
      <c r="L6" s="655"/>
      <c r="M6" s="655"/>
    </row>
    <row r="7" spans="1:28" s="512" customFormat="1" ht="12" x14ac:dyDescent="0.2">
      <c r="A7" s="516" t="s">
        <v>256</v>
      </c>
      <c r="B7" s="603">
        <v>1</v>
      </c>
      <c r="C7" s="655"/>
      <c r="D7" s="655"/>
      <c r="E7" s="655"/>
      <c r="F7" s="655"/>
      <c r="G7" s="655"/>
      <c r="H7" s="655"/>
      <c r="I7" s="655"/>
      <c r="J7" s="655"/>
      <c r="K7" s="655"/>
      <c r="L7" s="655"/>
      <c r="M7" s="655"/>
    </row>
    <row r="8" spans="1:28" s="512" customFormat="1" ht="12" x14ac:dyDescent="0.2">
      <c r="A8" s="516"/>
      <c r="B8" s="604"/>
      <c r="C8" s="655"/>
      <c r="D8" s="655"/>
      <c r="E8" s="655"/>
      <c r="F8" s="655"/>
      <c r="G8" s="655"/>
      <c r="H8" s="655"/>
      <c r="I8" s="655"/>
      <c r="J8" s="655"/>
      <c r="K8" s="655"/>
      <c r="L8" s="655"/>
      <c r="M8" s="655"/>
    </row>
    <row r="9" spans="1:28" s="512" customFormat="1" ht="12" x14ac:dyDescent="0.2">
      <c r="A9" s="516"/>
      <c r="B9" s="604"/>
      <c r="C9" s="655"/>
      <c r="D9" s="655"/>
      <c r="E9" s="655"/>
      <c r="F9" s="655"/>
      <c r="G9" s="655"/>
      <c r="H9" s="655"/>
      <c r="I9" s="655"/>
      <c r="J9" s="655"/>
      <c r="K9" s="655"/>
      <c r="L9" s="655"/>
      <c r="M9" s="655"/>
    </row>
    <row r="10" spans="1:28" ht="56.25" customHeight="1" x14ac:dyDescent="0.2">
      <c r="A10" s="605" t="s">
        <v>60</v>
      </c>
      <c r="B10" s="477" t="s">
        <v>257</v>
      </c>
      <c r="C10" s="477" t="s">
        <v>257</v>
      </c>
      <c r="D10" s="363"/>
    </row>
    <row r="11" spans="1:28" ht="12" x14ac:dyDescent="0.2">
      <c r="A11" s="605" t="s">
        <v>65</v>
      </c>
      <c r="B11" s="520" t="s">
        <v>258</v>
      </c>
      <c r="C11" s="520" t="s">
        <v>259</v>
      </c>
      <c r="D11" s="363"/>
    </row>
    <row r="12" spans="1:28" s="522" customFormat="1" ht="12" x14ac:dyDescent="0.2">
      <c r="A12" s="605" t="s">
        <v>85</v>
      </c>
      <c r="B12" s="478">
        <v>1</v>
      </c>
      <c r="C12" s="478">
        <v>2</v>
      </c>
      <c r="E12" s="513"/>
      <c r="F12" s="513"/>
      <c r="G12" s="513"/>
      <c r="H12" s="513"/>
      <c r="I12" s="513"/>
      <c r="J12" s="513"/>
      <c r="K12" s="513"/>
      <c r="L12" s="513"/>
      <c r="M12" s="513"/>
    </row>
    <row r="13" spans="1:28" s="522" customFormat="1" ht="12" x14ac:dyDescent="0.2">
      <c r="A13" s="605" t="s">
        <v>86</v>
      </c>
      <c r="B13" s="698" t="s">
        <v>260</v>
      </c>
      <c r="C13" s="699"/>
      <c r="E13" s="513"/>
      <c r="F13" s="513"/>
      <c r="G13" s="513"/>
      <c r="H13" s="513"/>
      <c r="I13" s="513"/>
      <c r="J13" s="513"/>
      <c r="K13" s="513"/>
      <c r="L13" s="513"/>
      <c r="M13" s="513"/>
    </row>
    <row r="14" spans="1:28" s="522" customFormat="1" ht="12.75" x14ac:dyDescent="0.2">
      <c r="A14" s="606" t="s">
        <v>104</v>
      </c>
      <c r="B14" s="478" t="s">
        <v>244</v>
      </c>
      <c r="C14" s="478" t="s">
        <v>243</v>
      </c>
      <c r="E14" s="513"/>
      <c r="F14" s="513"/>
      <c r="G14" s="513"/>
      <c r="H14" s="513"/>
      <c r="I14" s="513"/>
      <c r="J14" s="513"/>
      <c r="K14" s="513"/>
      <c r="L14" s="513"/>
      <c r="M14" s="513"/>
    </row>
    <row r="15" spans="1:28" s="522" customFormat="1" ht="12" x14ac:dyDescent="0.2">
      <c r="A15" s="605" t="s">
        <v>105</v>
      </c>
      <c r="B15" s="525">
        <v>1</v>
      </c>
      <c r="C15" s="525">
        <v>1</v>
      </c>
      <c r="E15" s="513"/>
      <c r="F15" s="513"/>
      <c r="G15" s="513"/>
      <c r="H15" s="513"/>
      <c r="I15" s="513"/>
      <c r="J15" s="513"/>
      <c r="K15" s="513"/>
      <c r="L15" s="513"/>
      <c r="M15" s="513"/>
    </row>
    <row r="16" spans="1:28" s="522" customFormat="1" ht="12" x14ac:dyDescent="0.2">
      <c r="A16" s="605" t="s">
        <v>106</v>
      </c>
      <c r="B16" s="525">
        <v>0.75</v>
      </c>
      <c r="C16" s="525">
        <v>0.75</v>
      </c>
      <c r="E16" s="513"/>
      <c r="F16" s="513"/>
      <c r="G16" s="513"/>
      <c r="H16" s="513"/>
      <c r="I16" s="513"/>
      <c r="J16" s="513"/>
      <c r="K16" s="513"/>
      <c r="L16" s="513"/>
      <c r="M16" s="513"/>
    </row>
    <row r="17" spans="1:13" s="522" customFormat="1" ht="12" x14ac:dyDescent="0.2">
      <c r="A17" s="607" t="s">
        <v>107</v>
      </c>
      <c r="B17" s="525">
        <v>0.25</v>
      </c>
      <c r="C17" s="525">
        <v>0.25</v>
      </c>
      <c r="E17" s="513"/>
      <c r="F17" s="513"/>
      <c r="G17" s="513"/>
      <c r="H17" s="513"/>
      <c r="I17" s="513"/>
      <c r="J17" s="513"/>
      <c r="K17" s="513"/>
      <c r="L17" s="513"/>
      <c r="M17" s="513"/>
    </row>
    <row r="18" spans="1:13" ht="12.75" x14ac:dyDescent="0.2">
      <c r="A18" s="606" t="s">
        <v>261</v>
      </c>
      <c r="B18" s="531" t="s">
        <v>244</v>
      </c>
      <c r="C18" s="531" t="s">
        <v>243</v>
      </c>
      <c r="D18" s="363"/>
    </row>
    <row r="19" spans="1:13" s="610" customFormat="1" ht="12" x14ac:dyDescent="0.2">
      <c r="A19" s="211" t="s">
        <v>108</v>
      </c>
      <c r="B19" s="608">
        <f>SUM(B4:B7)*B15</f>
        <v>5</v>
      </c>
      <c r="C19" s="608">
        <f>SUM(C4:C7)*C15</f>
        <v>3</v>
      </c>
      <c r="D19" s="609"/>
      <c r="E19" s="609"/>
      <c r="F19" s="609"/>
      <c r="G19" s="609"/>
      <c r="H19" s="609"/>
      <c r="I19" s="609"/>
      <c r="J19" s="609"/>
      <c r="K19" s="609"/>
      <c r="L19" s="609"/>
      <c r="M19" s="609"/>
    </row>
    <row r="20" spans="1:13" ht="12" x14ac:dyDescent="0.2">
      <c r="A20" s="211" t="s">
        <v>109</v>
      </c>
      <c r="B20" s="608">
        <f>B19*B16</f>
        <v>3.75</v>
      </c>
      <c r="C20" s="608">
        <f>C19*C16</f>
        <v>2.25</v>
      </c>
    </row>
    <row r="21" spans="1:13" ht="12" x14ac:dyDescent="0.2">
      <c r="A21" s="611" t="s">
        <v>110</v>
      </c>
      <c r="B21" s="612">
        <f>B19*B17</f>
        <v>1.25</v>
      </c>
      <c r="C21" s="612">
        <f>C19*C17</f>
        <v>0.75</v>
      </c>
    </row>
    <row r="22" spans="1:13" ht="12" x14ac:dyDescent="0.2">
      <c r="A22" s="613" t="s">
        <v>111</v>
      </c>
      <c r="B22" s="531"/>
      <c r="C22" s="615"/>
    </row>
    <row r="23" spans="1:13" ht="12" x14ac:dyDescent="0.2">
      <c r="A23" s="565" t="s">
        <v>112</v>
      </c>
      <c r="B23" s="614" t="s">
        <v>231</v>
      </c>
      <c r="C23" s="616"/>
    </row>
    <row r="24" spans="1:13" ht="12" x14ac:dyDescent="0.2">
      <c r="A24" s="565" t="s">
        <v>113</v>
      </c>
      <c r="B24" s="530" t="s">
        <v>231</v>
      </c>
      <c r="C24" s="617"/>
    </row>
    <row r="25" spans="1:13" ht="12" x14ac:dyDescent="0.2">
      <c r="A25" s="565" t="s">
        <v>114</v>
      </c>
      <c r="B25" s="530" t="s">
        <v>231</v>
      </c>
      <c r="C25" s="617"/>
    </row>
    <row r="26" spans="1:13" ht="12" x14ac:dyDescent="0.2">
      <c r="A26" s="565" t="s">
        <v>115</v>
      </c>
      <c r="B26" s="530" t="s">
        <v>231</v>
      </c>
      <c r="C26" s="617"/>
    </row>
    <row r="27" spans="1:13" ht="12" x14ac:dyDescent="0.2">
      <c r="A27" s="565" t="s">
        <v>116</v>
      </c>
      <c r="B27" s="530" t="s">
        <v>231</v>
      </c>
      <c r="C27" s="617"/>
    </row>
    <row r="28" spans="1:13" ht="12" x14ac:dyDescent="0.2">
      <c r="A28" s="565" t="s">
        <v>117</v>
      </c>
      <c r="B28" s="530" t="s">
        <v>231</v>
      </c>
      <c r="C28" s="617"/>
    </row>
    <row r="29" spans="1:13" ht="12" x14ac:dyDescent="0.2">
      <c r="A29" s="565" t="s">
        <v>118</v>
      </c>
      <c r="B29" s="530" t="s">
        <v>231</v>
      </c>
      <c r="C29" s="617"/>
    </row>
    <row r="30" spans="1:13" ht="12" x14ac:dyDescent="0.2">
      <c r="A30" s="565" t="s">
        <v>119</v>
      </c>
      <c r="B30" s="530" t="s">
        <v>231</v>
      </c>
      <c r="C30" s="617"/>
    </row>
    <row r="31" spans="1:13" ht="12" x14ac:dyDescent="0.2">
      <c r="A31" s="565" t="s">
        <v>120</v>
      </c>
      <c r="B31" s="530" t="s">
        <v>231</v>
      </c>
      <c r="C31" s="617"/>
    </row>
    <row r="32" spans="1:13" ht="12.75" x14ac:dyDescent="0.2">
      <c r="A32" s="476" t="s">
        <v>121</v>
      </c>
      <c r="B32" s="530" t="s">
        <v>231</v>
      </c>
      <c r="C32" s="618"/>
    </row>
  </sheetData>
  <mergeCells count="4">
    <mergeCell ref="A1:D1"/>
    <mergeCell ref="H1:I1"/>
    <mergeCell ref="B13:C13"/>
    <mergeCell ref="B2:C2"/>
  </mergeCells>
  <hyperlinks>
    <hyperlink ref="E1" location="Inventory!A1" display="Inventory" xr:uid="{00000000-0004-0000-0500-000000000000}"/>
  </hyperlinks>
  <pageMargins left="0.75" right="0.75" top="1" bottom="1" header="0.5" footer="0.5"/>
  <pageSetup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P65"/>
  <sheetViews>
    <sheetView showGridLines="0" workbookViewId="0">
      <selection activeCell="J2" sqref="J2"/>
    </sheetView>
  </sheetViews>
  <sheetFormatPr defaultColWidth="9.140625" defaultRowHeight="12.75" x14ac:dyDescent="0.2"/>
  <cols>
    <col min="1" max="1" width="9.140625" style="627"/>
    <col min="2" max="2" width="12.42578125" style="627" bestFit="1" customWidth="1"/>
    <col min="3" max="3" width="76.5703125" style="627" bestFit="1" customWidth="1"/>
    <col min="4" max="11" width="5.7109375" style="627" customWidth="1"/>
    <col min="12" max="12" width="5.7109375" customWidth="1"/>
    <col min="13" max="16" width="5.7109375" style="627" customWidth="1"/>
    <col min="17" max="16384" width="9.140625" style="627"/>
  </cols>
  <sheetData>
    <row r="1" spans="1:16" ht="15.75" x14ac:dyDescent="0.25">
      <c r="A1" s="624" t="s">
        <v>42</v>
      </c>
      <c r="B1" s="625">
        <v>43435</v>
      </c>
      <c r="C1" s="626" t="s">
        <v>46</v>
      </c>
      <c r="D1" s="701" t="s">
        <v>262</v>
      </c>
      <c r="E1" s="701"/>
      <c r="F1" s="701"/>
      <c r="G1" s="701"/>
      <c r="H1" s="701"/>
      <c r="I1" s="701"/>
      <c r="J1" s="701"/>
      <c r="K1" s="701"/>
      <c r="L1" s="701"/>
      <c r="M1" s="701"/>
      <c r="N1" s="701"/>
      <c r="O1" s="701"/>
      <c r="P1" s="701"/>
    </row>
    <row r="2" spans="1:16" s="628" customFormat="1" ht="339.75" thickBot="1" x14ac:dyDescent="0.25">
      <c r="B2" s="629"/>
      <c r="C2" s="630" t="s">
        <v>263</v>
      </c>
      <c r="D2" s="631" t="s">
        <v>181</v>
      </c>
      <c r="E2" s="632" t="s">
        <v>264</v>
      </c>
      <c r="F2" s="631" t="s">
        <v>265</v>
      </c>
      <c r="G2" s="632" t="s">
        <v>266</v>
      </c>
      <c r="H2" s="631" t="s">
        <v>267</v>
      </c>
      <c r="I2" s="632" t="s">
        <v>238</v>
      </c>
      <c r="J2" s="631" t="s">
        <v>237</v>
      </c>
      <c r="K2" s="632" t="s">
        <v>236</v>
      </c>
      <c r="L2" s="631" t="s">
        <v>235</v>
      </c>
      <c r="M2" s="632" t="s">
        <v>234</v>
      </c>
      <c r="N2" s="631" t="s">
        <v>233</v>
      </c>
      <c r="O2" s="632" t="s">
        <v>232</v>
      </c>
      <c r="P2" s="631" t="s">
        <v>268</v>
      </c>
    </row>
    <row r="3" spans="1:16" s="636" customFormat="1" ht="17.45" customHeight="1" x14ac:dyDescent="0.2">
      <c r="A3" s="702" t="s">
        <v>269</v>
      </c>
      <c r="B3" s="633" t="s">
        <v>270</v>
      </c>
      <c r="C3" s="634" t="s">
        <v>271</v>
      </c>
      <c r="D3" s="635" t="s">
        <v>173</v>
      </c>
      <c r="E3" s="635" t="s">
        <v>173</v>
      </c>
      <c r="F3" s="635" t="s">
        <v>173</v>
      </c>
      <c r="G3" s="635"/>
      <c r="H3" s="635"/>
      <c r="I3" s="635"/>
      <c r="J3" s="635"/>
      <c r="K3" s="635"/>
      <c r="L3" s="635"/>
      <c r="M3" s="635"/>
      <c r="N3" s="635"/>
      <c r="O3" s="635"/>
      <c r="P3" s="635"/>
    </row>
    <row r="4" spans="1:16" s="636" customFormat="1" ht="17.45" customHeight="1" x14ac:dyDescent="0.2">
      <c r="A4" s="703"/>
      <c r="B4" s="637" t="s">
        <v>272</v>
      </c>
      <c r="C4" s="638" t="s">
        <v>273</v>
      </c>
      <c r="D4" s="639" t="s">
        <v>173</v>
      </c>
      <c r="E4" s="639" t="s">
        <v>173</v>
      </c>
      <c r="F4" s="639" t="s">
        <v>173</v>
      </c>
      <c r="G4" s="639" t="s">
        <v>173</v>
      </c>
      <c r="H4" s="639" t="s">
        <v>173</v>
      </c>
      <c r="I4" s="639" t="s">
        <v>173</v>
      </c>
      <c r="J4" s="639"/>
      <c r="K4" s="639"/>
      <c r="L4" s="639" t="s">
        <v>173</v>
      </c>
      <c r="M4" s="639" t="s">
        <v>173</v>
      </c>
      <c r="N4" s="639"/>
      <c r="O4" s="639"/>
      <c r="P4" s="639"/>
    </row>
    <row r="5" spans="1:16" s="636" customFormat="1" ht="17.45" customHeight="1" x14ac:dyDescent="0.2">
      <c r="A5" s="703"/>
      <c r="B5" s="637" t="s">
        <v>274</v>
      </c>
      <c r="C5" s="638" t="s">
        <v>275</v>
      </c>
      <c r="D5" s="639" t="s">
        <v>173</v>
      </c>
      <c r="E5" s="639" t="s">
        <v>173</v>
      </c>
      <c r="F5" s="639" t="s">
        <v>173</v>
      </c>
      <c r="G5" s="639" t="s">
        <v>173</v>
      </c>
      <c r="H5" s="639" t="s">
        <v>173</v>
      </c>
      <c r="I5" s="639" t="s">
        <v>173</v>
      </c>
      <c r="J5" s="639"/>
      <c r="K5" s="639"/>
      <c r="L5" s="639"/>
      <c r="M5" s="639"/>
      <c r="N5" s="639"/>
      <c r="O5" s="639"/>
      <c r="P5" s="639"/>
    </row>
    <row r="6" spans="1:16" s="636" customFormat="1" ht="17.45" customHeight="1" x14ac:dyDescent="0.2">
      <c r="A6" s="703"/>
      <c r="B6" s="637" t="s">
        <v>276</v>
      </c>
      <c r="C6" s="638" t="s">
        <v>277</v>
      </c>
      <c r="D6" s="639" t="s">
        <v>173</v>
      </c>
      <c r="E6" s="639" t="s">
        <v>173</v>
      </c>
      <c r="F6" s="639" t="s">
        <v>173</v>
      </c>
      <c r="G6" s="639" t="s">
        <v>173</v>
      </c>
      <c r="H6" s="639" t="s">
        <v>173</v>
      </c>
      <c r="I6" s="639" t="s">
        <v>173</v>
      </c>
      <c r="J6" s="639"/>
      <c r="K6" s="639" t="s">
        <v>173</v>
      </c>
      <c r="L6" s="639"/>
      <c r="M6" s="639"/>
      <c r="N6" s="639" t="s">
        <v>173</v>
      </c>
      <c r="O6" s="639"/>
      <c r="P6" s="639"/>
    </row>
    <row r="7" spans="1:16" s="636" customFormat="1" ht="17.45" customHeight="1" x14ac:dyDescent="0.2">
      <c r="A7" s="703"/>
      <c r="B7" s="637" t="s">
        <v>278</v>
      </c>
      <c r="C7" s="638" t="s">
        <v>279</v>
      </c>
      <c r="D7" s="639" t="s">
        <v>173</v>
      </c>
      <c r="E7" s="639" t="s">
        <v>173</v>
      </c>
      <c r="F7" s="639" t="s">
        <v>173</v>
      </c>
      <c r="G7" s="639" t="s">
        <v>173</v>
      </c>
      <c r="H7" s="639" t="s">
        <v>173</v>
      </c>
      <c r="I7" s="639" t="s">
        <v>173</v>
      </c>
      <c r="J7" s="639"/>
      <c r="K7" s="639"/>
      <c r="L7" s="639"/>
      <c r="M7" s="639"/>
      <c r="N7" s="639"/>
      <c r="O7" s="639"/>
      <c r="P7" s="639"/>
    </row>
    <row r="8" spans="1:16" s="636" customFormat="1" ht="17.45" customHeight="1" x14ac:dyDescent="0.2">
      <c r="A8" s="703"/>
      <c r="B8" s="637" t="s">
        <v>280</v>
      </c>
      <c r="C8" s="638" t="s">
        <v>281</v>
      </c>
      <c r="D8" s="639" t="s">
        <v>173</v>
      </c>
      <c r="E8" s="639" t="s">
        <v>173</v>
      </c>
      <c r="F8" s="639" t="s">
        <v>173</v>
      </c>
      <c r="G8" s="639" t="s">
        <v>173</v>
      </c>
      <c r="H8" s="639" t="s">
        <v>173</v>
      </c>
      <c r="I8" s="639" t="s">
        <v>173</v>
      </c>
      <c r="J8" s="639"/>
      <c r="K8" s="639" t="s">
        <v>173</v>
      </c>
      <c r="L8" s="639"/>
      <c r="M8" s="639"/>
      <c r="N8" s="639" t="s">
        <v>173</v>
      </c>
      <c r="O8" s="639"/>
      <c r="P8" s="639"/>
    </row>
    <row r="9" spans="1:16" s="636" customFormat="1" ht="17.45" customHeight="1" x14ac:dyDescent="0.2">
      <c r="A9" s="703"/>
      <c r="B9" s="637" t="s">
        <v>282</v>
      </c>
      <c r="C9" s="638" t="s">
        <v>283</v>
      </c>
      <c r="D9" s="639" t="s">
        <v>173</v>
      </c>
      <c r="E9" s="639" t="s">
        <v>173</v>
      </c>
      <c r="F9" s="639" t="s">
        <v>173</v>
      </c>
      <c r="G9" s="639" t="s">
        <v>173</v>
      </c>
      <c r="H9" s="639" t="s">
        <v>173</v>
      </c>
      <c r="I9" s="639" t="s">
        <v>173</v>
      </c>
      <c r="J9" s="639"/>
      <c r="K9" s="639"/>
      <c r="L9" s="639" t="s">
        <v>173</v>
      </c>
      <c r="M9" s="639" t="s">
        <v>173</v>
      </c>
      <c r="N9" s="639"/>
      <c r="O9" s="639" t="s">
        <v>173</v>
      </c>
      <c r="P9" s="639"/>
    </row>
    <row r="10" spans="1:16" s="636" customFormat="1" ht="17.45" customHeight="1" x14ac:dyDescent="0.2">
      <c r="A10" s="703"/>
      <c r="B10" s="637" t="s">
        <v>284</v>
      </c>
      <c r="C10" s="638" t="s">
        <v>285</v>
      </c>
      <c r="D10" s="639" t="s">
        <v>173</v>
      </c>
      <c r="E10" s="639" t="s">
        <v>173</v>
      </c>
      <c r="F10" s="639" t="s">
        <v>173</v>
      </c>
      <c r="G10" s="639" t="s">
        <v>173</v>
      </c>
      <c r="H10" s="639" t="s">
        <v>173</v>
      </c>
      <c r="I10" s="639"/>
      <c r="J10" s="639"/>
      <c r="K10" s="639" t="s">
        <v>173</v>
      </c>
      <c r="L10" s="639" t="s">
        <v>173</v>
      </c>
      <c r="M10" s="639"/>
      <c r="N10" s="639" t="s">
        <v>173</v>
      </c>
      <c r="O10" s="639"/>
      <c r="P10" s="639"/>
    </row>
    <row r="11" spans="1:16" s="636" customFormat="1" ht="17.45" customHeight="1" x14ac:dyDescent="0.2">
      <c r="A11" s="703"/>
      <c r="B11" s="637" t="s">
        <v>286</v>
      </c>
      <c r="C11" s="638" t="s">
        <v>287</v>
      </c>
      <c r="D11" s="639" t="s">
        <v>173</v>
      </c>
      <c r="E11" s="639" t="s">
        <v>173</v>
      </c>
      <c r="F11" s="639" t="s">
        <v>173</v>
      </c>
      <c r="G11" s="639" t="s">
        <v>173</v>
      </c>
      <c r="H11" s="639" t="s">
        <v>173</v>
      </c>
      <c r="I11" s="639" t="s">
        <v>173</v>
      </c>
      <c r="J11" s="639" t="s">
        <v>173</v>
      </c>
      <c r="K11" s="639" t="s">
        <v>173</v>
      </c>
      <c r="L11" s="639"/>
      <c r="M11" s="639"/>
      <c r="N11" s="639" t="s">
        <v>173</v>
      </c>
      <c r="O11" s="639"/>
      <c r="P11" s="639"/>
    </row>
    <row r="12" spans="1:16" s="636" customFormat="1" ht="17.45" customHeight="1" thickBot="1" x14ac:dyDescent="0.25">
      <c r="A12" s="704"/>
      <c r="B12" s="640" t="s">
        <v>288</v>
      </c>
      <c r="C12" s="641" t="s">
        <v>289</v>
      </c>
      <c r="D12" s="642" t="s">
        <v>173</v>
      </c>
      <c r="E12" s="642" t="s">
        <v>173</v>
      </c>
      <c r="F12" s="642" t="s">
        <v>173</v>
      </c>
      <c r="G12" s="642" t="s">
        <v>173</v>
      </c>
      <c r="H12" s="642" t="s">
        <v>173</v>
      </c>
      <c r="I12" s="642" t="s">
        <v>173</v>
      </c>
      <c r="J12" s="642"/>
      <c r="K12" s="642"/>
      <c r="L12" s="642"/>
      <c r="M12" s="642"/>
      <c r="N12" s="642"/>
      <c r="O12" s="642"/>
      <c r="P12" s="642"/>
    </row>
    <row r="13" spans="1:16" ht="11.25" x14ac:dyDescent="0.2">
      <c r="L13" s="627"/>
    </row>
    <row r="14" spans="1:16" ht="11.25" x14ac:dyDescent="0.2">
      <c r="L14" s="627"/>
    </row>
    <row r="15" spans="1:16" ht="11.25" x14ac:dyDescent="0.2">
      <c r="L15" s="627"/>
    </row>
    <row r="16" spans="1:16" ht="11.25" x14ac:dyDescent="0.2">
      <c r="L16" s="627"/>
    </row>
    <row r="17" spans="2:12" ht="11.25" x14ac:dyDescent="0.2">
      <c r="L17" s="627"/>
    </row>
    <row r="18" spans="2:12" ht="11.25" x14ac:dyDescent="0.2">
      <c r="C18" s="643"/>
      <c r="L18" s="627"/>
    </row>
    <row r="19" spans="2:12" ht="11.25" x14ac:dyDescent="0.2">
      <c r="C19" s="643"/>
      <c r="L19" s="627"/>
    </row>
    <row r="20" spans="2:12" ht="11.25" x14ac:dyDescent="0.2">
      <c r="C20" s="643"/>
      <c r="L20" s="627"/>
    </row>
    <row r="21" spans="2:12" ht="11.25" x14ac:dyDescent="0.2">
      <c r="C21" s="643"/>
      <c r="L21" s="627"/>
    </row>
    <row r="22" spans="2:12" ht="11.25" x14ac:dyDescent="0.2">
      <c r="C22" s="643"/>
      <c r="L22" s="627"/>
    </row>
    <row r="23" spans="2:12" ht="11.25" x14ac:dyDescent="0.2">
      <c r="C23" s="643"/>
      <c r="L23" s="627"/>
    </row>
    <row r="24" spans="2:12" ht="11.25" x14ac:dyDescent="0.2">
      <c r="C24" s="643"/>
      <c r="L24" s="627"/>
    </row>
    <row r="25" spans="2:12" ht="11.25" x14ac:dyDescent="0.2">
      <c r="C25" s="643"/>
      <c r="L25" s="627"/>
    </row>
    <row r="26" spans="2:12" ht="11.25" x14ac:dyDescent="0.2">
      <c r="C26" s="643"/>
      <c r="L26" s="627"/>
    </row>
    <row r="27" spans="2:12" ht="11.25" x14ac:dyDescent="0.2">
      <c r="B27" s="643"/>
      <c r="C27" s="643"/>
      <c r="L27" s="627"/>
    </row>
    <row r="28" spans="2:12" ht="11.25" x14ac:dyDescent="0.2">
      <c r="B28" s="643"/>
      <c r="C28" s="643"/>
      <c r="L28" s="627"/>
    </row>
    <row r="29" spans="2:12" ht="11.25" x14ac:dyDescent="0.2">
      <c r="B29" s="643"/>
      <c r="C29" s="643"/>
      <c r="L29" s="627"/>
    </row>
    <row r="30" spans="2:12" ht="11.25" x14ac:dyDescent="0.2">
      <c r="B30" s="643"/>
      <c r="C30" s="643"/>
      <c r="L30" s="627"/>
    </row>
    <row r="31" spans="2:12" ht="11.25" x14ac:dyDescent="0.2">
      <c r="B31" s="643"/>
      <c r="C31" s="643"/>
      <c r="L31" s="627"/>
    </row>
    <row r="32" spans="2:12" ht="11.25" x14ac:dyDescent="0.2">
      <c r="B32" s="643"/>
      <c r="C32" s="643"/>
      <c r="L32" s="627"/>
    </row>
    <row r="33" spans="2:12" ht="11.25" x14ac:dyDescent="0.2">
      <c r="B33" s="643"/>
      <c r="C33" s="643"/>
      <c r="L33" s="627"/>
    </row>
    <row r="34" spans="2:12" ht="11.25" x14ac:dyDescent="0.2">
      <c r="B34" s="643"/>
      <c r="C34" s="643"/>
      <c r="L34" s="627"/>
    </row>
    <row r="35" spans="2:12" x14ac:dyDescent="0.2">
      <c r="B35" s="643"/>
      <c r="C35" s="643"/>
    </row>
    <row r="36" spans="2:12" x14ac:dyDescent="0.2">
      <c r="B36" s="643"/>
      <c r="C36" s="643"/>
    </row>
    <row r="37" spans="2:12" x14ac:dyDescent="0.2">
      <c r="B37" s="643"/>
      <c r="C37" s="643"/>
    </row>
    <row r="38" spans="2:12" x14ac:dyDescent="0.2">
      <c r="B38" s="643"/>
      <c r="C38" s="643"/>
    </row>
    <row r="39" spans="2:12" x14ac:dyDescent="0.2">
      <c r="B39" s="643"/>
      <c r="C39" s="643"/>
    </row>
    <row r="40" spans="2:12" x14ac:dyDescent="0.2">
      <c r="B40" s="643"/>
      <c r="C40" s="643"/>
    </row>
    <row r="41" spans="2:12" x14ac:dyDescent="0.2">
      <c r="B41" s="643"/>
      <c r="C41" s="643"/>
    </row>
    <row r="42" spans="2:12" x14ac:dyDescent="0.2">
      <c r="B42" s="643"/>
      <c r="C42" s="643"/>
    </row>
    <row r="43" spans="2:12" x14ac:dyDescent="0.2">
      <c r="B43" s="643"/>
      <c r="C43" s="643"/>
    </row>
    <row r="44" spans="2:12" x14ac:dyDescent="0.2">
      <c r="B44" s="643"/>
      <c r="C44" s="643"/>
    </row>
    <row r="45" spans="2:12" x14ac:dyDescent="0.2">
      <c r="B45" s="643"/>
      <c r="C45" s="643"/>
    </row>
    <row r="46" spans="2:12" x14ac:dyDescent="0.2">
      <c r="B46" s="643"/>
      <c r="C46" s="643"/>
    </row>
    <row r="47" spans="2:12" x14ac:dyDescent="0.2">
      <c r="B47" s="643"/>
      <c r="C47" s="643"/>
    </row>
    <row r="48" spans="2:12" x14ac:dyDescent="0.2">
      <c r="B48" s="643"/>
      <c r="C48" s="643"/>
    </row>
    <row r="49" spans="2:3" x14ac:dyDescent="0.2">
      <c r="B49" s="643"/>
      <c r="C49" s="643"/>
    </row>
    <row r="50" spans="2:3" x14ac:dyDescent="0.2">
      <c r="B50" s="643"/>
      <c r="C50" s="643"/>
    </row>
    <row r="51" spans="2:3" x14ac:dyDescent="0.2">
      <c r="B51" s="643"/>
      <c r="C51" s="643"/>
    </row>
    <row r="52" spans="2:3" x14ac:dyDescent="0.2">
      <c r="B52" s="643"/>
      <c r="C52" s="643"/>
    </row>
    <row r="53" spans="2:3" x14ac:dyDescent="0.2">
      <c r="B53" s="643"/>
      <c r="C53" s="643"/>
    </row>
    <row r="54" spans="2:3" x14ac:dyDescent="0.2">
      <c r="B54" s="643"/>
      <c r="C54" s="643"/>
    </row>
    <row r="55" spans="2:3" x14ac:dyDescent="0.2">
      <c r="B55" s="643"/>
      <c r="C55" s="643"/>
    </row>
    <row r="56" spans="2:3" x14ac:dyDescent="0.2">
      <c r="B56" s="643"/>
      <c r="C56" s="643"/>
    </row>
    <row r="57" spans="2:3" x14ac:dyDescent="0.2">
      <c r="B57" s="643"/>
      <c r="C57" s="643"/>
    </row>
    <row r="58" spans="2:3" x14ac:dyDescent="0.2">
      <c r="B58" s="643"/>
      <c r="C58" s="643"/>
    </row>
    <row r="59" spans="2:3" x14ac:dyDescent="0.2">
      <c r="B59" s="643"/>
      <c r="C59" s="643"/>
    </row>
    <row r="60" spans="2:3" x14ac:dyDescent="0.2">
      <c r="B60" s="643"/>
      <c r="C60" s="643"/>
    </row>
    <row r="61" spans="2:3" x14ac:dyDescent="0.2">
      <c r="B61" s="643"/>
      <c r="C61" s="643"/>
    </row>
    <row r="62" spans="2:3" x14ac:dyDescent="0.2">
      <c r="B62" s="643"/>
      <c r="C62" s="643"/>
    </row>
    <row r="63" spans="2:3" x14ac:dyDescent="0.2">
      <c r="B63" s="643"/>
      <c r="C63" s="643"/>
    </row>
    <row r="64" spans="2:3" x14ac:dyDescent="0.2">
      <c r="B64" s="643"/>
      <c r="C64" s="643"/>
    </row>
    <row r="65" spans="2:3" x14ac:dyDescent="0.2">
      <c r="B65" s="643"/>
      <c r="C65" s="643"/>
    </row>
  </sheetData>
  <mergeCells count="2">
    <mergeCell ref="D1:P1"/>
    <mergeCell ref="A3:A12"/>
  </mergeCells>
  <conditionalFormatting sqref="D3:P12">
    <cfRule type="cellIs" dxfId="4" priority="1" operator="equal">
      <formula>""</formula>
    </cfRule>
  </conditionalFormatting>
  <hyperlinks>
    <hyperlink ref="C1" location="Inventory!A1" display="Inventory" xr:uid="{00000000-0004-0000-0600-000000000000}"/>
  </hyperlinks>
  <pageMargins left="0.75" right="0.75" top="1" bottom="1" header="0.5" footer="0.5"/>
  <pageSetup scale="4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65"/>
  <sheetViews>
    <sheetView showGridLines="0" workbookViewId="0">
      <selection activeCell="C1" sqref="C1"/>
    </sheetView>
  </sheetViews>
  <sheetFormatPr defaultColWidth="9.140625" defaultRowHeight="12.75" x14ac:dyDescent="0.2"/>
  <cols>
    <col min="1" max="1" width="9.140625" style="627"/>
    <col min="2" max="2" width="12.42578125" style="627" bestFit="1" customWidth="1"/>
    <col min="3" max="3" width="76.5703125" style="627" bestFit="1" customWidth="1"/>
    <col min="4" max="11" width="5.7109375" style="627" customWidth="1"/>
    <col min="12" max="12" width="5.7109375" customWidth="1"/>
    <col min="13" max="15" width="5.7109375" style="627" customWidth="1"/>
    <col min="16" max="16384" width="9.140625" style="627"/>
  </cols>
  <sheetData>
    <row r="1" spans="1:15" ht="15.75" x14ac:dyDescent="0.25">
      <c r="A1" s="624" t="s">
        <v>42</v>
      </c>
      <c r="B1" s="625">
        <v>43435</v>
      </c>
      <c r="C1" s="626" t="s">
        <v>46</v>
      </c>
      <c r="D1" s="701" t="s">
        <v>262</v>
      </c>
      <c r="E1" s="701"/>
      <c r="F1" s="701"/>
      <c r="G1" s="701"/>
      <c r="H1" s="701"/>
      <c r="I1" s="701"/>
      <c r="J1" s="701"/>
      <c r="K1" s="701"/>
      <c r="L1" s="701"/>
      <c r="M1" s="701"/>
      <c r="N1" s="701"/>
      <c r="O1" s="701"/>
    </row>
    <row r="2" spans="1:15" s="628" customFormat="1" ht="273" thickBot="1" x14ac:dyDescent="0.25">
      <c r="B2" s="629"/>
      <c r="C2" s="630" t="s">
        <v>290</v>
      </c>
      <c r="D2" s="631" t="s">
        <v>181</v>
      </c>
      <c r="E2" s="632" t="s">
        <v>264</v>
      </c>
      <c r="F2" s="631" t="s">
        <v>291</v>
      </c>
      <c r="G2" s="632" t="s">
        <v>292</v>
      </c>
      <c r="H2" s="631" t="s">
        <v>293</v>
      </c>
      <c r="I2" s="632" t="s">
        <v>294</v>
      </c>
      <c r="J2" s="631" t="s">
        <v>295</v>
      </c>
      <c r="K2" s="632" t="s">
        <v>296</v>
      </c>
      <c r="L2" s="631" t="s">
        <v>297</v>
      </c>
      <c r="M2" s="632" t="s">
        <v>298</v>
      </c>
      <c r="N2" s="631" t="s">
        <v>299</v>
      </c>
      <c r="O2" s="632" t="s">
        <v>121</v>
      </c>
    </row>
    <row r="3" spans="1:15" s="636" customFormat="1" ht="17.45" customHeight="1" x14ac:dyDescent="0.2">
      <c r="A3" s="702" t="s">
        <v>300</v>
      </c>
      <c r="B3" s="633" t="s">
        <v>270</v>
      </c>
      <c r="C3" s="634" t="s">
        <v>271</v>
      </c>
      <c r="D3" s="635" t="s">
        <v>173</v>
      </c>
      <c r="E3" s="635" t="s">
        <v>173</v>
      </c>
      <c r="F3" s="635"/>
      <c r="G3" s="635"/>
      <c r="H3" s="635"/>
      <c r="I3" s="635"/>
      <c r="J3" s="635"/>
      <c r="K3" s="635"/>
      <c r="L3" s="635"/>
      <c r="M3" s="635"/>
      <c r="N3" s="635"/>
      <c r="O3" s="635" t="s">
        <v>173</v>
      </c>
    </row>
    <row r="4" spans="1:15" s="636" customFormat="1" ht="17.45" customHeight="1" x14ac:dyDescent="0.2">
      <c r="A4" s="703"/>
      <c r="B4" s="637" t="s">
        <v>272</v>
      </c>
      <c r="C4" s="638" t="s">
        <v>273</v>
      </c>
      <c r="D4" s="639" t="s">
        <v>173</v>
      </c>
      <c r="E4" s="639" t="s">
        <v>173</v>
      </c>
      <c r="F4" s="639"/>
      <c r="G4" s="639" t="s">
        <v>173</v>
      </c>
      <c r="H4" s="639" t="s">
        <v>173</v>
      </c>
      <c r="I4" s="639" t="s">
        <v>173</v>
      </c>
      <c r="J4" s="639"/>
      <c r="K4" s="639"/>
      <c r="L4" s="639"/>
      <c r="M4" s="639" t="s">
        <v>173</v>
      </c>
      <c r="N4" s="639" t="s">
        <v>173</v>
      </c>
      <c r="O4" s="639" t="s">
        <v>173</v>
      </c>
    </row>
    <row r="5" spans="1:15" s="636" customFormat="1" ht="17.45" customHeight="1" x14ac:dyDescent="0.2">
      <c r="A5" s="703"/>
      <c r="B5" s="637" t="s">
        <v>274</v>
      </c>
      <c r="C5" s="638" t="s">
        <v>275</v>
      </c>
      <c r="D5" s="639" t="s">
        <v>173</v>
      </c>
      <c r="E5" s="639" t="s">
        <v>173</v>
      </c>
      <c r="F5" s="639" t="s">
        <v>173</v>
      </c>
      <c r="G5" s="639"/>
      <c r="H5" s="639"/>
      <c r="I5" s="639" t="s">
        <v>173</v>
      </c>
      <c r="J5" s="639"/>
      <c r="K5" s="639"/>
      <c r="L5" s="639"/>
      <c r="M5" s="639" t="s">
        <v>173</v>
      </c>
      <c r="N5" s="639"/>
      <c r="O5" s="639" t="s">
        <v>173</v>
      </c>
    </row>
    <row r="6" spans="1:15" s="636" customFormat="1" ht="17.45" customHeight="1" x14ac:dyDescent="0.2">
      <c r="A6" s="703"/>
      <c r="B6" s="637" t="s">
        <v>276</v>
      </c>
      <c r="C6" s="638" t="s">
        <v>277</v>
      </c>
      <c r="D6" s="639" t="s">
        <v>173</v>
      </c>
      <c r="E6" s="639" t="s">
        <v>173</v>
      </c>
      <c r="F6" s="639" t="s">
        <v>173</v>
      </c>
      <c r="G6" s="639"/>
      <c r="H6" s="639"/>
      <c r="I6" s="639"/>
      <c r="J6" s="639"/>
      <c r="K6" s="639" t="s">
        <v>173</v>
      </c>
      <c r="L6" s="639"/>
      <c r="M6" s="639" t="s">
        <v>173</v>
      </c>
      <c r="N6" s="639"/>
      <c r="O6" s="639" t="s">
        <v>173</v>
      </c>
    </row>
    <row r="7" spans="1:15" s="636" customFormat="1" ht="17.45" customHeight="1" x14ac:dyDescent="0.2">
      <c r="A7" s="703"/>
      <c r="B7" s="637" t="s">
        <v>278</v>
      </c>
      <c r="C7" s="638" t="s">
        <v>279</v>
      </c>
      <c r="D7" s="639" t="s">
        <v>173</v>
      </c>
      <c r="E7" s="639" t="s">
        <v>173</v>
      </c>
      <c r="F7" s="639" t="s">
        <v>173</v>
      </c>
      <c r="G7" s="639"/>
      <c r="H7" s="639"/>
      <c r="I7" s="639" t="s">
        <v>173</v>
      </c>
      <c r="J7" s="639"/>
      <c r="K7" s="639"/>
      <c r="L7" s="639"/>
      <c r="M7" s="639" t="s">
        <v>173</v>
      </c>
      <c r="N7" s="639" t="s">
        <v>173</v>
      </c>
      <c r="O7" s="639" t="s">
        <v>173</v>
      </c>
    </row>
    <row r="8" spans="1:15" s="636" customFormat="1" ht="17.45" customHeight="1" x14ac:dyDescent="0.2">
      <c r="A8" s="703"/>
      <c r="B8" s="637" t="s">
        <v>280</v>
      </c>
      <c r="C8" s="638" t="s">
        <v>301</v>
      </c>
      <c r="D8" s="639" t="s">
        <v>173</v>
      </c>
      <c r="E8" s="639" t="s">
        <v>173</v>
      </c>
      <c r="F8" s="639" t="s">
        <v>173</v>
      </c>
      <c r="G8" s="639"/>
      <c r="H8" s="639"/>
      <c r="I8" s="639"/>
      <c r="J8" s="639"/>
      <c r="K8" s="639" t="s">
        <v>173</v>
      </c>
      <c r="L8" s="639"/>
      <c r="M8" s="639" t="s">
        <v>173</v>
      </c>
      <c r="N8" s="639"/>
      <c r="O8" s="639" t="s">
        <v>173</v>
      </c>
    </row>
    <row r="9" spans="1:15" s="636" customFormat="1" ht="17.45" customHeight="1" x14ac:dyDescent="0.2">
      <c r="A9" s="703"/>
      <c r="B9" s="637" t="s">
        <v>282</v>
      </c>
      <c r="C9" s="638" t="s">
        <v>283</v>
      </c>
      <c r="D9" s="639" t="s">
        <v>173</v>
      </c>
      <c r="E9" s="639" t="s">
        <v>173</v>
      </c>
      <c r="F9" s="639" t="s">
        <v>173</v>
      </c>
      <c r="G9" s="639" t="s">
        <v>173</v>
      </c>
      <c r="H9" s="639" t="s">
        <v>173</v>
      </c>
      <c r="I9" s="639" t="s">
        <v>173</v>
      </c>
      <c r="J9" s="639" t="s">
        <v>173</v>
      </c>
      <c r="K9" s="639"/>
      <c r="L9" s="639"/>
      <c r="M9" s="639" t="s">
        <v>173</v>
      </c>
      <c r="N9" s="639" t="s">
        <v>173</v>
      </c>
      <c r="O9" s="639" t="s">
        <v>173</v>
      </c>
    </row>
    <row r="10" spans="1:15" s="636" customFormat="1" ht="17.45" customHeight="1" x14ac:dyDescent="0.2">
      <c r="A10" s="703"/>
      <c r="B10" s="637" t="s">
        <v>284</v>
      </c>
      <c r="C10" s="638" t="s">
        <v>285</v>
      </c>
      <c r="D10" s="639" t="s">
        <v>173</v>
      </c>
      <c r="E10" s="639" t="s">
        <v>173</v>
      </c>
      <c r="F10" s="639" t="s">
        <v>173</v>
      </c>
      <c r="G10" s="639" t="s">
        <v>173</v>
      </c>
      <c r="H10" s="639"/>
      <c r="I10" s="639"/>
      <c r="J10" s="639"/>
      <c r="K10" s="639" t="s">
        <v>173</v>
      </c>
      <c r="L10" s="639"/>
      <c r="M10" s="639" t="s">
        <v>173</v>
      </c>
      <c r="N10" s="639" t="s">
        <v>173</v>
      </c>
      <c r="O10" s="639" t="s">
        <v>173</v>
      </c>
    </row>
    <row r="11" spans="1:15" s="636" customFormat="1" ht="17.45" customHeight="1" x14ac:dyDescent="0.2">
      <c r="A11" s="703"/>
      <c r="B11" s="637" t="s">
        <v>302</v>
      </c>
      <c r="C11" s="638" t="s">
        <v>303</v>
      </c>
      <c r="D11" s="639" t="s">
        <v>173</v>
      </c>
      <c r="E11" s="639" t="s">
        <v>173</v>
      </c>
      <c r="F11" s="639" t="s">
        <v>173</v>
      </c>
      <c r="G11" s="639"/>
      <c r="H11" s="639"/>
      <c r="I11" s="639"/>
      <c r="J11" s="639"/>
      <c r="K11" s="639"/>
      <c r="L11" s="639"/>
      <c r="M11" s="639" t="s">
        <v>173</v>
      </c>
      <c r="N11" s="639" t="s">
        <v>173</v>
      </c>
      <c r="O11" s="639" t="s">
        <v>173</v>
      </c>
    </row>
    <row r="12" spans="1:15" s="636" customFormat="1" ht="17.45" customHeight="1" x14ac:dyDescent="0.2">
      <c r="A12" s="703"/>
      <c r="B12" s="637" t="s">
        <v>286</v>
      </c>
      <c r="C12" s="647" t="s">
        <v>287</v>
      </c>
      <c r="D12" s="639" t="s">
        <v>173</v>
      </c>
      <c r="E12" s="639" t="s">
        <v>173</v>
      </c>
      <c r="F12" s="639" t="s">
        <v>173</v>
      </c>
      <c r="G12" s="639"/>
      <c r="H12" s="639"/>
      <c r="I12" s="639" t="s">
        <v>173</v>
      </c>
      <c r="J12" s="639"/>
      <c r="K12" s="639" t="s">
        <v>173</v>
      </c>
      <c r="L12" s="639" t="s">
        <v>173</v>
      </c>
      <c r="M12" s="639" t="s">
        <v>173</v>
      </c>
      <c r="N12" s="639" t="s">
        <v>173</v>
      </c>
      <c r="O12" s="639" t="s">
        <v>173</v>
      </c>
    </row>
    <row r="13" spans="1:15" s="636" customFormat="1" ht="17.45" customHeight="1" thickBot="1" x14ac:dyDescent="0.25">
      <c r="A13" s="704"/>
      <c r="B13" s="644" t="s">
        <v>288</v>
      </c>
      <c r="C13" s="645" t="s">
        <v>289</v>
      </c>
      <c r="D13" s="646" t="s">
        <v>173</v>
      </c>
      <c r="E13" s="646" t="s">
        <v>173</v>
      </c>
      <c r="F13" s="646" t="s">
        <v>173</v>
      </c>
      <c r="G13" s="646"/>
      <c r="H13" s="646"/>
      <c r="I13" s="646" t="s">
        <v>173</v>
      </c>
      <c r="J13" s="646"/>
      <c r="K13" s="646"/>
      <c r="L13" s="646"/>
      <c r="M13" s="646" t="s">
        <v>173</v>
      </c>
      <c r="N13" s="646" t="s">
        <v>173</v>
      </c>
      <c r="O13" s="646" t="s">
        <v>173</v>
      </c>
    </row>
    <row r="14" spans="1:15" ht="11.25" x14ac:dyDescent="0.2">
      <c r="L14" s="627"/>
    </row>
    <row r="15" spans="1:15" ht="11.25" x14ac:dyDescent="0.2">
      <c r="L15" s="627"/>
    </row>
    <row r="16" spans="1:15" ht="11.25" x14ac:dyDescent="0.2">
      <c r="L16" s="627"/>
    </row>
    <row r="17" spans="2:12" ht="11.25" x14ac:dyDescent="0.2">
      <c r="L17" s="627"/>
    </row>
    <row r="18" spans="2:12" ht="11.25" x14ac:dyDescent="0.2">
      <c r="C18" s="643"/>
      <c r="L18" s="627"/>
    </row>
    <row r="19" spans="2:12" ht="11.25" x14ac:dyDescent="0.2">
      <c r="C19" s="643"/>
      <c r="L19" s="627"/>
    </row>
    <row r="20" spans="2:12" ht="11.25" x14ac:dyDescent="0.2">
      <c r="C20" s="643"/>
      <c r="L20" s="627"/>
    </row>
    <row r="21" spans="2:12" ht="11.25" x14ac:dyDescent="0.2">
      <c r="C21" s="643"/>
      <c r="L21" s="627"/>
    </row>
    <row r="22" spans="2:12" ht="11.25" x14ac:dyDescent="0.2">
      <c r="C22" s="643"/>
      <c r="L22" s="627"/>
    </row>
    <row r="23" spans="2:12" ht="11.25" x14ac:dyDescent="0.2">
      <c r="C23" s="643"/>
      <c r="L23" s="627"/>
    </row>
    <row r="24" spans="2:12" ht="11.25" x14ac:dyDescent="0.2">
      <c r="C24" s="643"/>
      <c r="L24" s="627"/>
    </row>
    <row r="25" spans="2:12" ht="11.25" x14ac:dyDescent="0.2">
      <c r="C25" s="643"/>
      <c r="L25" s="627"/>
    </row>
    <row r="26" spans="2:12" ht="11.25" x14ac:dyDescent="0.2">
      <c r="C26" s="643"/>
      <c r="L26" s="627"/>
    </row>
    <row r="27" spans="2:12" ht="11.25" x14ac:dyDescent="0.2">
      <c r="B27" s="643"/>
      <c r="C27" s="643"/>
      <c r="L27" s="627"/>
    </row>
    <row r="28" spans="2:12" ht="11.25" x14ac:dyDescent="0.2">
      <c r="B28" s="643"/>
      <c r="C28" s="643"/>
      <c r="L28" s="627"/>
    </row>
    <row r="29" spans="2:12" ht="11.25" x14ac:dyDescent="0.2">
      <c r="B29" s="643"/>
      <c r="C29" s="643"/>
      <c r="L29" s="627"/>
    </row>
    <row r="30" spans="2:12" ht="11.25" x14ac:dyDescent="0.2">
      <c r="B30" s="643"/>
      <c r="C30" s="643"/>
      <c r="L30" s="627"/>
    </row>
    <row r="31" spans="2:12" ht="11.25" x14ac:dyDescent="0.2">
      <c r="B31" s="643"/>
      <c r="C31" s="643"/>
      <c r="L31" s="627"/>
    </row>
    <row r="32" spans="2:12" ht="11.25" x14ac:dyDescent="0.2">
      <c r="B32" s="643"/>
      <c r="C32" s="643"/>
      <c r="L32" s="627"/>
    </row>
    <row r="33" spans="2:12" ht="11.25" x14ac:dyDescent="0.2">
      <c r="B33" s="643"/>
      <c r="C33" s="643"/>
      <c r="L33" s="627"/>
    </row>
    <row r="34" spans="2:12" ht="11.25" x14ac:dyDescent="0.2">
      <c r="B34" s="643"/>
      <c r="C34" s="643"/>
      <c r="L34" s="627"/>
    </row>
    <row r="35" spans="2:12" x14ac:dyDescent="0.2">
      <c r="B35" s="643"/>
      <c r="C35" s="643"/>
    </row>
    <row r="36" spans="2:12" x14ac:dyDescent="0.2">
      <c r="B36" s="643"/>
      <c r="C36" s="643"/>
    </row>
    <row r="37" spans="2:12" x14ac:dyDescent="0.2">
      <c r="B37" s="643"/>
      <c r="C37" s="643"/>
    </row>
    <row r="38" spans="2:12" x14ac:dyDescent="0.2">
      <c r="B38" s="643"/>
      <c r="C38" s="643"/>
    </row>
    <row r="39" spans="2:12" x14ac:dyDescent="0.2">
      <c r="B39" s="643"/>
      <c r="C39" s="643"/>
    </row>
    <row r="40" spans="2:12" x14ac:dyDescent="0.2">
      <c r="B40" s="643"/>
      <c r="C40" s="643"/>
    </row>
    <row r="41" spans="2:12" x14ac:dyDescent="0.2">
      <c r="B41" s="643"/>
      <c r="C41" s="643"/>
    </row>
    <row r="42" spans="2:12" x14ac:dyDescent="0.2">
      <c r="B42" s="643"/>
      <c r="C42" s="643"/>
    </row>
    <row r="43" spans="2:12" x14ac:dyDescent="0.2">
      <c r="B43" s="643"/>
      <c r="C43" s="643"/>
    </row>
    <row r="44" spans="2:12" x14ac:dyDescent="0.2">
      <c r="B44" s="643"/>
      <c r="C44" s="643"/>
    </row>
    <row r="45" spans="2:12" x14ac:dyDescent="0.2">
      <c r="B45" s="643"/>
      <c r="C45" s="643"/>
    </row>
    <row r="46" spans="2:12" x14ac:dyDescent="0.2">
      <c r="B46" s="643"/>
      <c r="C46" s="643"/>
    </row>
    <row r="47" spans="2:12" x14ac:dyDescent="0.2">
      <c r="B47" s="643"/>
      <c r="C47" s="643"/>
    </row>
    <row r="48" spans="2:12" x14ac:dyDescent="0.2">
      <c r="B48" s="643"/>
      <c r="C48" s="643"/>
    </row>
    <row r="49" spans="2:3" x14ac:dyDescent="0.2">
      <c r="B49" s="643"/>
      <c r="C49" s="643"/>
    </row>
    <row r="50" spans="2:3" x14ac:dyDescent="0.2">
      <c r="B50" s="643"/>
      <c r="C50" s="643"/>
    </row>
    <row r="51" spans="2:3" x14ac:dyDescent="0.2">
      <c r="B51" s="643"/>
      <c r="C51" s="643"/>
    </row>
    <row r="52" spans="2:3" x14ac:dyDescent="0.2">
      <c r="B52" s="643"/>
      <c r="C52" s="643"/>
    </row>
    <row r="53" spans="2:3" x14ac:dyDescent="0.2">
      <c r="B53" s="643"/>
      <c r="C53" s="643"/>
    </row>
    <row r="54" spans="2:3" x14ac:dyDescent="0.2">
      <c r="B54" s="643"/>
      <c r="C54" s="643"/>
    </row>
    <row r="55" spans="2:3" x14ac:dyDescent="0.2">
      <c r="B55" s="643"/>
      <c r="C55" s="643"/>
    </row>
    <row r="56" spans="2:3" x14ac:dyDescent="0.2">
      <c r="B56" s="643"/>
      <c r="C56" s="643"/>
    </row>
    <row r="57" spans="2:3" x14ac:dyDescent="0.2">
      <c r="B57" s="643"/>
      <c r="C57" s="643"/>
    </row>
    <row r="58" spans="2:3" x14ac:dyDescent="0.2">
      <c r="B58" s="643"/>
      <c r="C58" s="643"/>
    </row>
    <row r="59" spans="2:3" x14ac:dyDescent="0.2">
      <c r="B59" s="643"/>
      <c r="C59" s="643"/>
    </row>
    <row r="60" spans="2:3" x14ac:dyDescent="0.2">
      <c r="B60" s="643"/>
      <c r="C60" s="643"/>
    </row>
    <row r="61" spans="2:3" x14ac:dyDescent="0.2">
      <c r="B61" s="643"/>
      <c r="C61" s="643"/>
    </row>
    <row r="62" spans="2:3" x14ac:dyDescent="0.2">
      <c r="B62" s="643"/>
      <c r="C62" s="643"/>
    </row>
    <row r="63" spans="2:3" x14ac:dyDescent="0.2">
      <c r="B63" s="643"/>
      <c r="C63" s="643"/>
    </row>
    <row r="64" spans="2:3" x14ac:dyDescent="0.2">
      <c r="B64" s="643"/>
      <c r="C64" s="643"/>
    </row>
    <row r="65" spans="2:3" x14ac:dyDescent="0.2">
      <c r="B65" s="643"/>
      <c r="C65" s="643"/>
    </row>
  </sheetData>
  <mergeCells count="2">
    <mergeCell ref="D1:O1"/>
    <mergeCell ref="A3:A13"/>
  </mergeCells>
  <conditionalFormatting sqref="D3:O12">
    <cfRule type="cellIs" dxfId="3" priority="2" operator="equal">
      <formula>""</formula>
    </cfRule>
  </conditionalFormatting>
  <conditionalFormatting sqref="D13:O13">
    <cfRule type="cellIs" dxfId="2" priority="1" operator="equal">
      <formula>""</formula>
    </cfRule>
  </conditionalFormatting>
  <hyperlinks>
    <hyperlink ref="C1" location="Inventory!A1" display="Inventory" xr:uid="{00000000-0004-0000-0700-000000000000}"/>
  </hyperlinks>
  <pageMargins left="0.75" right="0.75" top="1" bottom="1" header="0.5" footer="0.5"/>
  <pageSetup scale="5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6"/>
  <sheetViews>
    <sheetView showGridLines="0" workbookViewId="0">
      <selection activeCell="C3" sqref="C3"/>
    </sheetView>
  </sheetViews>
  <sheetFormatPr defaultRowHeight="12.75" x14ac:dyDescent="0.2"/>
  <cols>
    <col min="1" max="1" width="49.140625" bestFit="1" customWidth="1"/>
    <col min="2" max="2" width="18.85546875" bestFit="1" customWidth="1"/>
    <col min="3" max="3" width="47.42578125" bestFit="1" customWidth="1"/>
    <col min="4" max="4" width="23.140625" bestFit="1" customWidth="1"/>
    <col min="5" max="5" width="23.5703125" bestFit="1" customWidth="1"/>
    <col min="6" max="6" width="21.140625" bestFit="1" customWidth="1"/>
    <col min="7" max="7" width="22.42578125" bestFit="1" customWidth="1"/>
    <col min="11" max="11" width="13.85546875" bestFit="1" customWidth="1"/>
  </cols>
  <sheetData>
    <row r="1" spans="1:11" ht="18.75" x14ac:dyDescent="0.3">
      <c r="A1" s="572" t="s">
        <v>304</v>
      </c>
      <c r="B1" s="572" t="s">
        <v>184</v>
      </c>
      <c r="C1" s="572" t="s">
        <v>305</v>
      </c>
      <c r="D1" s="572" t="s">
        <v>241</v>
      </c>
      <c r="E1" s="572" t="s">
        <v>306</v>
      </c>
      <c r="F1" s="572" t="s">
        <v>307</v>
      </c>
      <c r="G1" s="572" t="s">
        <v>308</v>
      </c>
      <c r="I1" s="341" t="s">
        <v>46</v>
      </c>
      <c r="K1" s="581">
        <v>44825</v>
      </c>
    </row>
    <row r="2" spans="1:11" s="575" customFormat="1" x14ac:dyDescent="0.2">
      <c r="A2" s="573" t="s">
        <v>185</v>
      </c>
      <c r="B2" s="585">
        <f>(LARGE(_xlfn.UNIQUE(B3:B12),1)+LARGE(_xlfn.UNIQUE(B3:B12),2)+LARGE(_xlfn.UNIQUE(B3:B12),3))/3</f>
        <v>0.75675578458619119</v>
      </c>
      <c r="C2" s="577" t="s">
        <v>185</v>
      </c>
      <c r="D2" s="585">
        <f>(LARGE(_xlfn.UNIQUE(D3:D13),1)+LARGE(_xlfn.UNIQUE(D3:D13),2)+LARGE(_xlfn.UNIQUE(D3:D13),3))/3</f>
        <v>0.71939135494482598</v>
      </c>
      <c r="E2" s="580" t="s">
        <v>309</v>
      </c>
      <c r="F2" s="580" t="s">
        <v>309</v>
      </c>
      <c r="G2" s="580" t="s">
        <v>309</v>
      </c>
      <c r="I2" s="458"/>
      <c r="K2" s="584"/>
    </row>
    <row r="3" spans="1:11" x14ac:dyDescent="0.2">
      <c r="A3" s="573" t="s">
        <v>112</v>
      </c>
      <c r="B3" s="574">
        <v>0.62598778306718283</v>
      </c>
      <c r="C3" s="577" t="s">
        <v>193</v>
      </c>
      <c r="D3" s="574">
        <v>0</v>
      </c>
      <c r="E3" s="580" t="s">
        <v>309</v>
      </c>
      <c r="F3" s="580" t="s">
        <v>309</v>
      </c>
      <c r="G3" s="580" t="s">
        <v>309</v>
      </c>
    </row>
    <row r="4" spans="1:11" x14ac:dyDescent="0.2">
      <c r="A4" s="573" t="s">
        <v>113</v>
      </c>
      <c r="B4" s="574">
        <v>0.18118599422234255</v>
      </c>
      <c r="C4" s="577" t="s">
        <v>194</v>
      </c>
      <c r="D4" s="574">
        <v>5.0656660412757994E-2</v>
      </c>
      <c r="E4" s="575"/>
      <c r="F4" s="575"/>
    </row>
    <row r="5" spans="1:11" x14ac:dyDescent="0.2">
      <c r="A5" s="573" t="s">
        <v>114</v>
      </c>
      <c r="B5" s="574">
        <v>5.6646163589436062E-2</v>
      </c>
      <c r="C5" s="577" t="s">
        <v>195</v>
      </c>
      <c r="D5" s="574">
        <v>0.47802369612876194</v>
      </c>
      <c r="E5" s="575"/>
      <c r="F5" s="575"/>
    </row>
    <row r="6" spans="1:11" x14ac:dyDescent="0.2">
      <c r="A6" s="573" t="s">
        <v>115</v>
      </c>
      <c r="B6" s="574">
        <v>0.34359371710706715</v>
      </c>
      <c r="C6" s="577" t="s">
        <v>196</v>
      </c>
      <c r="D6" s="574">
        <v>0.13160182531664713</v>
      </c>
      <c r="E6" s="575"/>
      <c r="F6" s="575"/>
    </row>
    <row r="7" spans="1:11" x14ac:dyDescent="0.2">
      <c r="A7" s="573" t="s">
        <v>116</v>
      </c>
      <c r="B7" s="574">
        <v>3.8354375965227921E-2</v>
      </c>
      <c r="C7" s="577" t="s">
        <v>197</v>
      </c>
      <c r="D7" s="574">
        <v>0.25919015318640093</v>
      </c>
      <c r="E7" s="575"/>
      <c r="F7" s="575"/>
    </row>
    <row r="8" spans="1:11" x14ac:dyDescent="0.2">
      <c r="A8" s="573" t="s">
        <v>117</v>
      </c>
      <c r="B8" s="574">
        <v>0.34188129443586474</v>
      </c>
      <c r="C8" s="577" t="s">
        <v>198</v>
      </c>
      <c r="D8" s="574">
        <v>0.47802369612876194</v>
      </c>
      <c r="E8" s="575"/>
      <c r="F8" s="575"/>
    </row>
    <row r="9" spans="1:11" x14ac:dyDescent="0.2">
      <c r="A9" s="573" t="s">
        <v>118</v>
      </c>
      <c r="B9" s="574">
        <v>2.9831181306288385E-2</v>
      </c>
      <c r="C9" s="577" t="s">
        <v>199</v>
      </c>
      <c r="D9" s="574">
        <v>5.6099622703750303E-2</v>
      </c>
      <c r="E9" s="575"/>
      <c r="F9" s="575"/>
    </row>
    <row r="10" spans="1:11" x14ac:dyDescent="0.2">
      <c r="A10" s="573" t="s">
        <v>119</v>
      </c>
      <c r="B10" s="574">
        <v>0.64427957069139086</v>
      </c>
      <c r="C10" s="577" t="s">
        <v>200</v>
      </c>
      <c r="D10" s="574">
        <v>0.48641492966070843</v>
      </c>
      <c r="E10" s="575"/>
      <c r="F10" s="575"/>
    </row>
    <row r="11" spans="1:11" x14ac:dyDescent="0.2">
      <c r="A11" s="573" t="s">
        <v>120</v>
      </c>
      <c r="B11" s="574">
        <v>0.49512366415994885</v>
      </c>
      <c r="C11" s="577" t="s">
        <v>201</v>
      </c>
      <c r="D11" s="574">
        <v>0.67175913517376951</v>
      </c>
      <c r="E11" s="575"/>
      <c r="F11" s="575"/>
    </row>
    <row r="12" spans="1:11" x14ac:dyDescent="0.2">
      <c r="A12" s="576" t="s">
        <v>121</v>
      </c>
      <c r="B12" s="574">
        <v>1</v>
      </c>
      <c r="C12" s="577" t="s">
        <v>202</v>
      </c>
      <c r="D12" s="574">
        <v>0.67175913517376951</v>
      </c>
      <c r="E12" s="575"/>
      <c r="F12" s="575"/>
    </row>
    <row r="13" spans="1:11" x14ac:dyDescent="0.2">
      <c r="C13" s="578" t="s">
        <v>203</v>
      </c>
      <c r="D13" s="574">
        <v>1</v>
      </c>
    </row>
    <row r="31" spans="1:1" ht="15.75" x14ac:dyDescent="0.25">
      <c r="A31" s="572" t="s">
        <v>310</v>
      </c>
    </row>
    <row r="32" spans="1:1" x14ac:dyDescent="0.2">
      <c r="A32" s="579" t="s">
        <v>184</v>
      </c>
    </row>
    <row r="33" spans="1:1" x14ac:dyDescent="0.2">
      <c r="A33" s="579" t="s">
        <v>241</v>
      </c>
    </row>
    <row r="34" spans="1:1" x14ac:dyDescent="0.2">
      <c r="A34" s="579" t="s">
        <v>306</v>
      </c>
    </row>
    <row r="35" spans="1:1" x14ac:dyDescent="0.2">
      <c r="A35" s="579" t="s">
        <v>307</v>
      </c>
    </row>
    <row r="36" spans="1:1" x14ac:dyDescent="0.2">
      <c r="A36" s="579" t="s">
        <v>308</v>
      </c>
    </row>
  </sheetData>
  <conditionalFormatting sqref="B2">
    <cfRule type="cellIs" dxfId="1" priority="2" operator="between">
      <formula>0.9</formula>
      <formula>0.99</formula>
    </cfRule>
  </conditionalFormatting>
  <conditionalFormatting sqref="D2">
    <cfRule type="cellIs" dxfId="0" priority="1" operator="between">
      <formula>0.9</formula>
      <formula>0.99</formula>
    </cfRule>
  </conditionalFormatting>
  <hyperlinks>
    <hyperlink ref="I1" location="Inventory!A1" display="Inventory" xr:uid="{00000000-0004-0000-0800-000000000000}"/>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9"/>
  <sheetViews>
    <sheetView showGridLines="0" zoomScale="75" workbookViewId="0">
      <selection activeCell="A2" sqref="A2"/>
    </sheetView>
  </sheetViews>
  <sheetFormatPr defaultRowHeight="12.75" x14ac:dyDescent="0.2"/>
  <cols>
    <col min="1" max="1" width="20.7109375" style="348" customWidth="1"/>
    <col min="2" max="2" width="18.28515625" style="348" bestFit="1" customWidth="1"/>
    <col min="3" max="3" width="76" style="348" bestFit="1" customWidth="1"/>
    <col min="4" max="4" width="88.28515625" style="349" bestFit="1" customWidth="1"/>
    <col min="5" max="5" width="13.7109375" style="349" bestFit="1" customWidth="1"/>
    <col min="6" max="6" width="20.140625" style="349" customWidth="1"/>
    <col min="7" max="7" width="19.5703125" style="349" customWidth="1"/>
    <col min="8" max="8" width="16.7109375" style="349" customWidth="1"/>
    <col min="9" max="10" width="9.140625" style="348"/>
    <col min="11" max="11" width="110.28515625" style="363" customWidth="1"/>
    <col min="12" max="256" width="9.140625" style="348"/>
    <col min="257" max="257" width="14.85546875" style="348" bestFit="1" customWidth="1"/>
    <col min="258" max="258" width="21" style="348" customWidth="1"/>
    <col min="259" max="259" width="73.140625" style="348" bestFit="1" customWidth="1"/>
    <col min="260" max="260" width="79.7109375" style="348" bestFit="1" customWidth="1"/>
    <col min="261" max="261" width="26.140625" style="348" customWidth="1"/>
    <col min="262" max="262" width="0" style="348" hidden="1" customWidth="1"/>
    <col min="263" max="263" width="19.5703125" style="348" customWidth="1"/>
    <col min="264" max="264" width="16.7109375" style="348" customWidth="1"/>
    <col min="265" max="266" width="9.140625" style="348"/>
    <col min="267" max="267" width="110.28515625" style="348" customWidth="1"/>
    <col min="268" max="512" width="9.140625" style="348"/>
    <col min="513" max="513" width="14.85546875" style="348" bestFit="1" customWidth="1"/>
    <col min="514" max="514" width="21" style="348" customWidth="1"/>
    <col min="515" max="515" width="73.140625" style="348" bestFit="1" customWidth="1"/>
    <col min="516" max="516" width="79.7109375" style="348" bestFit="1" customWidth="1"/>
    <col min="517" max="517" width="26.140625" style="348" customWidth="1"/>
    <col min="518" max="518" width="0" style="348" hidden="1" customWidth="1"/>
    <col min="519" max="519" width="19.5703125" style="348" customWidth="1"/>
    <col min="520" max="520" width="16.7109375" style="348" customWidth="1"/>
    <col min="521" max="522" width="9.140625" style="348"/>
    <col min="523" max="523" width="110.28515625" style="348" customWidth="1"/>
    <col min="524" max="768" width="9.140625" style="348"/>
    <col min="769" max="769" width="14.85546875" style="348" bestFit="1" customWidth="1"/>
    <col min="770" max="770" width="21" style="348" customWidth="1"/>
    <col min="771" max="771" width="73.140625" style="348" bestFit="1" customWidth="1"/>
    <col min="772" max="772" width="79.7109375" style="348" bestFit="1" customWidth="1"/>
    <col min="773" max="773" width="26.140625" style="348" customWidth="1"/>
    <col min="774" max="774" width="0" style="348" hidden="1" customWidth="1"/>
    <col min="775" max="775" width="19.5703125" style="348" customWidth="1"/>
    <col min="776" max="776" width="16.7109375" style="348" customWidth="1"/>
    <col min="777" max="778" width="9.140625" style="348"/>
    <col min="779" max="779" width="110.28515625" style="348" customWidth="1"/>
    <col min="780" max="1024" width="9.140625" style="348"/>
    <col min="1025" max="1025" width="14.85546875" style="348" bestFit="1" customWidth="1"/>
    <col min="1026" max="1026" width="21" style="348" customWidth="1"/>
    <col min="1027" max="1027" width="73.140625" style="348" bestFit="1" customWidth="1"/>
    <col min="1028" max="1028" width="79.7109375" style="348" bestFit="1" customWidth="1"/>
    <col min="1029" max="1029" width="26.140625" style="348" customWidth="1"/>
    <col min="1030" max="1030" width="0" style="348" hidden="1" customWidth="1"/>
    <col min="1031" max="1031" width="19.5703125" style="348" customWidth="1"/>
    <col min="1032" max="1032" width="16.7109375" style="348" customWidth="1"/>
    <col min="1033" max="1034" width="9.140625" style="348"/>
    <col min="1035" max="1035" width="110.28515625" style="348" customWidth="1"/>
    <col min="1036" max="1280" width="9.140625" style="348"/>
    <col min="1281" max="1281" width="14.85546875" style="348" bestFit="1" customWidth="1"/>
    <col min="1282" max="1282" width="21" style="348" customWidth="1"/>
    <col min="1283" max="1283" width="73.140625" style="348" bestFit="1" customWidth="1"/>
    <col min="1284" max="1284" width="79.7109375" style="348" bestFit="1" customWidth="1"/>
    <col min="1285" max="1285" width="26.140625" style="348" customWidth="1"/>
    <col min="1286" max="1286" width="0" style="348" hidden="1" customWidth="1"/>
    <col min="1287" max="1287" width="19.5703125" style="348" customWidth="1"/>
    <col min="1288" max="1288" width="16.7109375" style="348" customWidth="1"/>
    <col min="1289" max="1290" width="9.140625" style="348"/>
    <col min="1291" max="1291" width="110.28515625" style="348" customWidth="1"/>
    <col min="1292" max="1536" width="9.140625" style="348"/>
    <col min="1537" max="1537" width="14.85546875" style="348" bestFit="1" customWidth="1"/>
    <col min="1538" max="1538" width="21" style="348" customWidth="1"/>
    <col min="1539" max="1539" width="73.140625" style="348" bestFit="1" customWidth="1"/>
    <col min="1540" max="1540" width="79.7109375" style="348" bestFit="1" customWidth="1"/>
    <col min="1541" max="1541" width="26.140625" style="348" customWidth="1"/>
    <col min="1542" max="1542" width="0" style="348" hidden="1" customWidth="1"/>
    <col min="1543" max="1543" width="19.5703125" style="348" customWidth="1"/>
    <col min="1544" max="1544" width="16.7109375" style="348" customWidth="1"/>
    <col min="1545" max="1546" width="9.140625" style="348"/>
    <col min="1547" max="1547" width="110.28515625" style="348" customWidth="1"/>
    <col min="1548" max="1792" width="9.140625" style="348"/>
    <col min="1793" max="1793" width="14.85546875" style="348" bestFit="1" customWidth="1"/>
    <col min="1794" max="1794" width="21" style="348" customWidth="1"/>
    <col min="1795" max="1795" width="73.140625" style="348" bestFit="1" customWidth="1"/>
    <col min="1796" max="1796" width="79.7109375" style="348" bestFit="1" customWidth="1"/>
    <col min="1797" max="1797" width="26.140625" style="348" customWidth="1"/>
    <col min="1798" max="1798" width="0" style="348" hidden="1" customWidth="1"/>
    <col min="1799" max="1799" width="19.5703125" style="348" customWidth="1"/>
    <col min="1800" max="1800" width="16.7109375" style="348" customWidth="1"/>
    <col min="1801" max="1802" width="9.140625" style="348"/>
    <col min="1803" max="1803" width="110.28515625" style="348" customWidth="1"/>
    <col min="1804" max="2048" width="9.140625" style="348"/>
    <col min="2049" max="2049" width="14.85546875" style="348" bestFit="1" customWidth="1"/>
    <col min="2050" max="2050" width="21" style="348" customWidth="1"/>
    <col min="2051" max="2051" width="73.140625" style="348" bestFit="1" customWidth="1"/>
    <col min="2052" max="2052" width="79.7109375" style="348" bestFit="1" customWidth="1"/>
    <col min="2053" max="2053" width="26.140625" style="348" customWidth="1"/>
    <col min="2054" max="2054" width="0" style="348" hidden="1" customWidth="1"/>
    <col min="2055" max="2055" width="19.5703125" style="348" customWidth="1"/>
    <col min="2056" max="2056" width="16.7109375" style="348" customWidth="1"/>
    <col min="2057" max="2058" width="9.140625" style="348"/>
    <col min="2059" max="2059" width="110.28515625" style="348" customWidth="1"/>
    <col min="2060" max="2304" width="9.140625" style="348"/>
    <col min="2305" max="2305" width="14.85546875" style="348" bestFit="1" customWidth="1"/>
    <col min="2306" max="2306" width="21" style="348" customWidth="1"/>
    <col min="2307" max="2307" width="73.140625" style="348" bestFit="1" customWidth="1"/>
    <col min="2308" max="2308" width="79.7109375" style="348" bestFit="1" customWidth="1"/>
    <col min="2309" max="2309" width="26.140625" style="348" customWidth="1"/>
    <col min="2310" max="2310" width="0" style="348" hidden="1" customWidth="1"/>
    <col min="2311" max="2311" width="19.5703125" style="348" customWidth="1"/>
    <col min="2312" max="2312" width="16.7109375" style="348" customWidth="1"/>
    <col min="2313" max="2314" width="9.140625" style="348"/>
    <col min="2315" max="2315" width="110.28515625" style="348" customWidth="1"/>
    <col min="2316" max="2560" width="9.140625" style="348"/>
    <col min="2561" max="2561" width="14.85546875" style="348" bestFit="1" customWidth="1"/>
    <col min="2562" max="2562" width="21" style="348" customWidth="1"/>
    <col min="2563" max="2563" width="73.140625" style="348" bestFit="1" customWidth="1"/>
    <col min="2564" max="2564" width="79.7109375" style="348" bestFit="1" customWidth="1"/>
    <col min="2565" max="2565" width="26.140625" style="348" customWidth="1"/>
    <col min="2566" max="2566" width="0" style="348" hidden="1" customWidth="1"/>
    <col min="2567" max="2567" width="19.5703125" style="348" customWidth="1"/>
    <col min="2568" max="2568" width="16.7109375" style="348" customWidth="1"/>
    <col min="2569" max="2570" width="9.140625" style="348"/>
    <col min="2571" max="2571" width="110.28515625" style="348" customWidth="1"/>
    <col min="2572" max="2816" width="9.140625" style="348"/>
    <col min="2817" max="2817" width="14.85546875" style="348" bestFit="1" customWidth="1"/>
    <col min="2818" max="2818" width="21" style="348" customWidth="1"/>
    <col min="2819" max="2819" width="73.140625" style="348" bestFit="1" customWidth="1"/>
    <col min="2820" max="2820" width="79.7109375" style="348" bestFit="1" customWidth="1"/>
    <col min="2821" max="2821" width="26.140625" style="348" customWidth="1"/>
    <col min="2822" max="2822" width="0" style="348" hidden="1" customWidth="1"/>
    <col min="2823" max="2823" width="19.5703125" style="348" customWidth="1"/>
    <col min="2824" max="2824" width="16.7109375" style="348" customWidth="1"/>
    <col min="2825" max="2826" width="9.140625" style="348"/>
    <col min="2827" max="2827" width="110.28515625" style="348" customWidth="1"/>
    <col min="2828" max="3072" width="9.140625" style="348"/>
    <col min="3073" max="3073" width="14.85546875" style="348" bestFit="1" customWidth="1"/>
    <col min="3074" max="3074" width="21" style="348" customWidth="1"/>
    <col min="3075" max="3075" width="73.140625" style="348" bestFit="1" customWidth="1"/>
    <col min="3076" max="3076" width="79.7109375" style="348" bestFit="1" customWidth="1"/>
    <col min="3077" max="3077" width="26.140625" style="348" customWidth="1"/>
    <col min="3078" max="3078" width="0" style="348" hidden="1" customWidth="1"/>
    <col min="3079" max="3079" width="19.5703125" style="348" customWidth="1"/>
    <col min="3080" max="3080" width="16.7109375" style="348" customWidth="1"/>
    <col min="3081" max="3082" width="9.140625" style="348"/>
    <col min="3083" max="3083" width="110.28515625" style="348" customWidth="1"/>
    <col min="3084" max="3328" width="9.140625" style="348"/>
    <col min="3329" max="3329" width="14.85546875" style="348" bestFit="1" customWidth="1"/>
    <col min="3330" max="3330" width="21" style="348" customWidth="1"/>
    <col min="3331" max="3331" width="73.140625" style="348" bestFit="1" customWidth="1"/>
    <col min="3332" max="3332" width="79.7109375" style="348" bestFit="1" customWidth="1"/>
    <col min="3333" max="3333" width="26.140625" style="348" customWidth="1"/>
    <col min="3334" max="3334" width="0" style="348" hidden="1" customWidth="1"/>
    <col min="3335" max="3335" width="19.5703125" style="348" customWidth="1"/>
    <col min="3336" max="3336" width="16.7109375" style="348" customWidth="1"/>
    <col min="3337" max="3338" width="9.140625" style="348"/>
    <col min="3339" max="3339" width="110.28515625" style="348" customWidth="1"/>
    <col min="3340" max="3584" width="9.140625" style="348"/>
    <col min="3585" max="3585" width="14.85546875" style="348" bestFit="1" customWidth="1"/>
    <col min="3586" max="3586" width="21" style="348" customWidth="1"/>
    <col min="3587" max="3587" width="73.140625" style="348" bestFit="1" customWidth="1"/>
    <col min="3588" max="3588" width="79.7109375" style="348" bestFit="1" customWidth="1"/>
    <col min="3589" max="3589" width="26.140625" style="348" customWidth="1"/>
    <col min="3590" max="3590" width="0" style="348" hidden="1" customWidth="1"/>
    <col min="3591" max="3591" width="19.5703125" style="348" customWidth="1"/>
    <col min="3592" max="3592" width="16.7109375" style="348" customWidth="1"/>
    <col min="3593" max="3594" width="9.140625" style="348"/>
    <col min="3595" max="3595" width="110.28515625" style="348" customWidth="1"/>
    <col min="3596" max="3840" width="9.140625" style="348"/>
    <col min="3841" max="3841" width="14.85546875" style="348" bestFit="1" customWidth="1"/>
    <col min="3842" max="3842" width="21" style="348" customWidth="1"/>
    <col min="3843" max="3843" width="73.140625" style="348" bestFit="1" customWidth="1"/>
    <col min="3844" max="3844" width="79.7109375" style="348" bestFit="1" customWidth="1"/>
    <col min="3845" max="3845" width="26.140625" style="348" customWidth="1"/>
    <col min="3846" max="3846" width="0" style="348" hidden="1" customWidth="1"/>
    <col min="3847" max="3847" width="19.5703125" style="348" customWidth="1"/>
    <col min="3848" max="3848" width="16.7109375" style="348" customWidth="1"/>
    <col min="3849" max="3850" width="9.140625" style="348"/>
    <col min="3851" max="3851" width="110.28515625" style="348" customWidth="1"/>
    <col min="3852" max="4096" width="9.140625" style="348"/>
    <col min="4097" max="4097" width="14.85546875" style="348" bestFit="1" customWidth="1"/>
    <col min="4098" max="4098" width="21" style="348" customWidth="1"/>
    <col min="4099" max="4099" width="73.140625" style="348" bestFit="1" customWidth="1"/>
    <col min="4100" max="4100" width="79.7109375" style="348" bestFit="1" customWidth="1"/>
    <col min="4101" max="4101" width="26.140625" style="348" customWidth="1"/>
    <col min="4102" max="4102" width="0" style="348" hidden="1" customWidth="1"/>
    <col min="4103" max="4103" width="19.5703125" style="348" customWidth="1"/>
    <col min="4104" max="4104" width="16.7109375" style="348" customWidth="1"/>
    <col min="4105" max="4106" width="9.140625" style="348"/>
    <col min="4107" max="4107" width="110.28515625" style="348" customWidth="1"/>
    <col min="4108" max="4352" width="9.140625" style="348"/>
    <col min="4353" max="4353" width="14.85546875" style="348" bestFit="1" customWidth="1"/>
    <col min="4354" max="4354" width="21" style="348" customWidth="1"/>
    <col min="4355" max="4355" width="73.140625" style="348" bestFit="1" customWidth="1"/>
    <col min="4356" max="4356" width="79.7109375" style="348" bestFit="1" customWidth="1"/>
    <col min="4357" max="4357" width="26.140625" style="348" customWidth="1"/>
    <col min="4358" max="4358" width="0" style="348" hidden="1" customWidth="1"/>
    <col min="4359" max="4359" width="19.5703125" style="348" customWidth="1"/>
    <col min="4360" max="4360" width="16.7109375" style="348" customWidth="1"/>
    <col min="4361" max="4362" width="9.140625" style="348"/>
    <col min="4363" max="4363" width="110.28515625" style="348" customWidth="1"/>
    <col min="4364" max="4608" width="9.140625" style="348"/>
    <col min="4609" max="4609" width="14.85546875" style="348" bestFit="1" customWidth="1"/>
    <col min="4610" max="4610" width="21" style="348" customWidth="1"/>
    <col min="4611" max="4611" width="73.140625" style="348" bestFit="1" customWidth="1"/>
    <col min="4612" max="4612" width="79.7109375" style="348" bestFit="1" customWidth="1"/>
    <col min="4613" max="4613" width="26.140625" style="348" customWidth="1"/>
    <col min="4614" max="4614" width="0" style="348" hidden="1" customWidth="1"/>
    <col min="4615" max="4615" width="19.5703125" style="348" customWidth="1"/>
    <col min="4616" max="4616" width="16.7109375" style="348" customWidth="1"/>
    <col min="4617" max="4618" width="9.140625" style="348"/>
    <col min="4619" max="4619" width="110.28515625" style="348" customWidth="1"/>
    <col min="4620" max="4864" width="9.140625" style="348"/>
    <col min="4865" max="4865" width="14.85546875" style="348" bestFit="1" customWidth="1"/>
    <col min="4866" max="4866" width="21" style="348" customWidth="1"/>
    <col min="4867" max="4867" width="73.140625" style="348" bestFit="1" customWidth="1"/>
    <col min="4868" max="4868" width="79.7109375" style="348" bestFit="1" customWidth="1"/>
    <col min="4869" max="4869" width="26.140625" style="348" customWidth="1"/>
    <col min="4870" max="4870" width="0" style="348" hidden="1" customWidth="1"/>
    <col min="4871" max="4871" width="19.5703125" style="348" customWidth="1"/>
    <col min="4872" max="4872" width="16.7109375" style="348" customWidth="1"/>
    <col min="4873" max="4874" width="9.140625" style="348"/>
    <col min="4875" max="4875" width="110.28515625" style="348" customWidth="1"/>
    <col min="4876" max="5120" width="9.140625" style="348"/>
    <col min="5121" max="5121" width="14.85546875" style="348" bestFit="1" customWidth="1"/>
    <col min="5122" max="5122" width="21" style="348" customWidth="1"/>
    <col min="5123" max="5123" width="73.140625" style="348" bestFit="1" customWidth="1"/>
    <col min="5124" max="5124" width="79.7109375" style="348" bestFit="1" customWidth="1"/>
    <col min="5125" max="5125" width="26.140625" style="348" customWidth="1"/>
    <col min="5126" max="5126" width="0" style="348" hidden="1" customWidth="1"/>
    <col min="5127" max="5127" width="19.5703125" style="348" customWidth="1"/>
    <col min="5128" max="5128" width="16.7109375" style="348" customWidth="1"/>
    <col min="5129" max="5130" width="9.140625" style="348"/>
    <col min="5131" max="5131" width="110.28515625" style="348" customWidth="1"/>
    <col min="5132" max="5376" width="9.140625" style="348"/>
    <col min="5377" max="5377" width="14.85546875" style="348" bestFit="1" customWidth="1"/>
    <col min="5378" max="5378" width="21" style="348" customWidth="1"/>
    <col min="5379" max="5379" width="73.140625" style="348" bestFit="1" customWidth="1"/>
    <col min="5380" max="5380" width="79.7109375" style="348" bestFit="1" customWidth="1"/>
    <col min="5381" max="5381" width="26.140625" style="348" customWidth="1"/>
    <col min="5382" max="5382" width="0" style="348" hidden="1" customWidth="1"/>
    <col min="5383" max="5383" width="19.5703125" style="348" customWidth="1"/>
    <col min="5384" max="5384" width="16.7109375" style="348" customWidth="1"/>
    <col min="5385" max="5386" width="9.140625" style="348"/>
    <col min="5387" max="5387" width="110.28515625" style="348" customWidth="1"/>
    <col min="5388" max="5632" width="9.140625" style="348"/>
    <col min="5633" max="5633" width="14.85546875" style="348" bestFit="1" customWidth="1"/>
    <col min="5634" max="5634" width="21" style="348" customWidth="1"/>
    <col min="5635" max="5635" width="73.140625" style="348" bestFit="1" customWidth="1"/>
    <col min="5636" max="5636" width="79.7109375" style="348" bestFit="1" customWidth="1"/>
    <col min="5637" max="5637" width="26.140625" style="348" customWidth="1"/>
    <col min="5638" max="5638" width="0" style="348" hidden="1" customWidth="1"/>
    <col min="5639" max="5639" width="19.5703125" style="348" customWidth="1"/>
    <col min="5640" max="5640" width="16.7109375" style="348" customWidth="1"/>
    <col min="5641" max="5642" width="9.140625" style="348"/>
    <col min="5643" max="5643" width="110.28515625" style="348" customWidth="1"/>
    <col min="5644" max="5888" width="9.140625" style="348"/>
    <col min="5889" max="5889" width="14.85546875" style="348" bestFit="1" customWidth="1"/>
    <col min="5890" max="5890" width="21" style="348" customWidth="1"/>
    <col min="5891" max="5891" width="73.140625" style="348" bestFit="1" customWidth="1"/>
    <col min="5892" max="5892" width="79.7109375" style="348" bestFit="1" customWidth="1"/>
    <col min="5893" max="5893" width="26.140625" style="348" customWidth="1"/>
    <col min="5894" max="5894" width="0" style="348" hidden="1" customWidth="1"/>
    <col min="5895" max="5895" width="19.5703125" style="348" customWidth="1"/>
    <col min="5896" max="5896" width="16.7109375" style="348" customWidth="1"/>
    <col min="5897" max="5898" width="9.140625" style="348"/>
    <col min="5899" max="5899" width="110.28515625" style="348" customWidth="1"/>
    <col min="5900" max="6144" width="9.140625" style="348"/>
    <col min="6145" max="6145" width="14.85546875" style="348" bestFit="1" customWidth="1"/>
    <col min="6146" max="6146" width="21" style="348" customWidth="1"/>
    <col min="6147" max="6147" width="73.140625" style="348" bestFit="1" customWidth="1"/>
    <col min="6148" max="6148" width="79.7109375" style="348" bestFit="1" customWidth="1"/>
    <col min="6149" max="6149" width="26.140625" style="348" customWidth="1"/>
    <col min="6150" max="6150" width="0" style="348" hidden="1" customWidth="1"/>
    <col min="6151" max="6151" width="19.5703125" style="348" customWidth="1"/>
    <col min="6152" max="6152" width="16.7109375" style="348" customWidth="1"/>
    <col min="6153" max="6154" width="9.140625" style="348"/>
    <col min="6155" max="6155" width="110.28515625" style="348" customWidth="1"/>
    <col min="6156" max="6400" width="9.140625" style="348"/>
    <col min="6401" max="6401" width="14.85546875" style="348" bestFit="1" customWidth="1"/>
    <col min="6402" max="6402" width="21" style="348" customWidth="1"/>
    <col min="6403" max="6403" width="73.140625" style="348" bestFit="1" customWidth="1"/>
    <col min="6404" max="6404" width="79.7109375" style="348" bestFit="1" customWidth="1"/>
    <col min="6405" max="6405" width="26.140625" style="348" customWidth="1"/>
    <col min="6406" max="6406" width="0" style="348" hidden="1" customWidth="1"/>
    <col min="6407" max="6407" width="19.5703125" style="348" customWidth="1"/>
    <col min="6408" max="6408" width="16.7109375" style="348" customWidth="1"/>
    <col min="6409" max="6410" width="9.140625" style="348"/>
    <col min="6411" max="6411" width="110.28515625" style="348" customWidth="1"/>
    <col min="6412" max="6656" width="9.140625" style="348"/>
    <col min="6657" max="6657" width="14.85546875" style="348" bestFit="1" customWidth="1"/>
    <col min="6658" max="6658" width="21" style="348" customWidth="1"/>
    <col min="6659" max="6659" width="73.140625" style="348" bestFit="1" customWidth="1"/>
    <col min="6660" max="6660" width="79.7109375" style="348" bestFit="1" customWidth="1"/>
    <col min="6661" max="6661" width="26.140625" style="348" customWidth="1"/>
    <col min="6662" max="6662" width="0" style="348" hidden="1" customWidth="1"/>
    <col min="6663" max="6663" width="19.5703125" style="348" customWidth="1"/>
    <col min="6664" max="6664" width="16.7109375" style="348" customWidth="1"/>
    <col min="6665" max="6666" width="9.140625" style="348"/>
    <col min="6667" max="6667" width="110.28515625" style="348" customWidth="1"/>
    <col min="6668" max="6912" width="9.140625" style="348"/>
    <col min="6913" max="6913" width="14.85546875" style="348" bestFit="1" customWidth="1"/>
    <col min="6914" max="6914" width="21" style="348" customWidth="1"/>
    <col min="6915" max="6915" width="73.140625" style="348" bestFit="1" customWidth="1"/>
    <col min="6916" max="6916" width="79.7109375" style="348" bestFit="1" customWidth="1"/>
    <col min="6917" max="6917" width="26.140625" style="348" customWidth="1"/>
    <col min="6918" max="6918" width="0" style="348" hidden="1" customWidth="1"/>
    <col min="6919" max="6919" width="19.5703125" style="348" customWidth="1"/>
    <col min="6920" max="6920" width="16.7109375" style="348" customWidth="1"/>
    <col min="6921" max="6922" width="9.140625" style="348"/>
    <col min="6923" max="6923" width="110.28515625" style="348" customWidth="1"/>
    <col min="6924" max="7168" width="9.140625" style="348"/>
    <col min="7169" max="7169" width="14.85546875" style="348" bestFit="1" customWidth="1"/>
    <col min="7170" max="7170" width="21" style="348" customWidth="1"/>
    <col min="7171" max="7171" width="73.140625" style="348" bestFit="1" customWidth="1"/>
    <col min="7172" max="7172" width="79.7109375" style="348" bestFit="1" customWidth="1"/>
    <col min="7173" max="7173" width="26.140625" style="348" customWidth="1"/>
    <col min="7174" max="7174" width="0" style="348" hidden="1" customWidth="1"/>
    <col min="7175" max="7175" width="19.5703125" style="348" customWidth="1"/>
    <col min="7176" max="7176" width="16.7109375" style="348" customWidth="1"/>
    <col min="7177" max="7178" width="9.140625" style="348"/>
    <col min="7179" max="7179" width="110.28515625" style="348" customWidth="1"/>
    <col min="7180" max="7424" width="9.140625" style="348"/>
    <col min="7425" max="7425" width="14.85546875" style="348" bestFit="1" customWidth="1"/>
    <col min="7426" max="7426" width="21" style="348" customWidth="1"/>
    <col min="7427" max="7427" width="73.140625" style="348" bestFit="1" customWidth="1"/>
    <col min="7428" max="7428" width="79.7109375" style="348" bestFit="1" customWidth="1"/>
    <col min="7429" max="7429" width="26.140625" style="348" customWidth="1"/>
    <col min="7430" max="7430" width="0" style="348" hidden="1" customWidth="1"/>
    <col min="7431" max="7431" width="19.5703125" style="348" customWidth="1"/>
    <col min="7432" max="7432" width="16.7109375" style="348" customWidth="1"/>
    <col min="7433" max="7434" width="9.140625" style="348"/>
    <col min="7435" max="7435" width="110.28515625" style="348" customWidth="1"/>
    <col min="7436" max="7680" width="9.140625" style="348"/>
    <col min="7681" max="7681" width="14.85546875" style="348" bestFit="1" customWidth="1"/>
    <col min="7682" max="7682" width="21" style="348" customWidth="1"/>
    <col min="7683" max="7683" width="73.140625" style="348" bestFit="1" customWidth="1"/>
    <col min="7684" max="7684" width="79.7109375" style="348" bestFit="1" customWidth="1"/>
    <col min="7685" max="7685" width="26.140625" style="348" customWidth="1"/>
    <col min="7686" max="7686" width="0" style="348" hidden="1" customWidth="1"/>
    <col min="7687" max="7687" width="19.5703125" style="348" customWidth="1"/>
    <col min="7688" max="7688" width="16.7109375" style="348" customWidth="1"/>
    <col min="7689" max="7690" width="9.140625" style="348"/>
    <col min="7691" max="7691" width="110.28515625" style="348" customWidth="1"/>
    <col min="7692" max="7936" width="9.140625" style="348"/>
    <col min="7937" max="7937" width="14.85546875" style="348" bestFit="1" customWidth="1"/>
    <col min="7938" max="7938" width="21" style="348" customWidth="1"/>
    <col min="7939" max="7939" width="73.140625" style="348" bestFit="1" customWidth="1"/>
    <col min="7940" max="7940" width="79.7109375" style="348" bestFit="1" customWidth="1"/>
    <col min="7941" max="7941" width="26.140625" style="348" customWidth="1"/>
    <col min="7942" max="7942" width="0" style="348" hidden="1" customWidth="1"/>
    <col min="7943" max="7943" width="19.5703125" style="348" customWidth="1"/>
    <col min="7944" max="7944" width="16.7109375" style="348" customWidth="1"/>
    <col min="7945" max="7946" width="9.140625" style="348"/>
    <col min="7947" max="7947" width="110.28515625" style="348" customWidth="1"/>
    <col min="7948" max="8192" width="9.140625" style="348"/>
    <col min="8193" max="8193" width="14.85546875" style="348" bestFit="1" customWidth="1"/>
    <col min="8194" max="8194" width="21" style="348" customWidth="1"/>
    <col min="8195" max="8195" width="73.140625" style="348" bestFit="1" customWidth="1"/>
    <col min="8196" max="8196" width="79.7109375" style="348" bestFit="1" customWidth="1"/>
    <col min="8197" max="8197" width="26.140625" style="348" customWidth="1"/>
    <col min="8198" max="8198" width="0" style="348" hidden="1" customWidth="1"/>
    <col min="8199" max="8199" width="19.5703125" style="348" customWidth="1"/>
    <col min="8200" max="8200" width="16.7109375" style="348" customWidth="1"/>
    <col min="8201" max="8202" width="9.140625" style="348"/>
    <col min="8203" max="8203" width="110.28515625" style="348" customWidth="1"/>
    <col min="8204" max="8448" width="9.140625" style="348"/>
    <col min="8449" max="8449" width="14.85546875" style="348" bestFit="1" customWidth="1"/>
    <col min="8450" max="8450" width="21" style="348" customWidth="1"/>
    <col min="8451" max="8451" width="73.140625" style="348" bestFit="1" customWidth="1"/>
    <col min="8452" max="8452" width="79.7109375" style="348" bestFit="1" customWidth="1"/>
    <col min="8453" max="8453" width="26.140625" style="348" customWidth="1"/>
    <col min="8454" max="8454" width="0" style="348" hidden="1" customWidth="1"/>
    <col min="8455" max="8455" width="19.5703125" style="348" customWidth="1"/>
    <col min="8456" max="8456" width="16.7109375" style="348" customWidth="1"/>
    <col min="8457" max="8458" width="9.140625" style="348"/>
    <col min="8459" max="8459" width="110.28515625" style="348" customWidth="1"/>
    <col min="8460" max="8704" width="9.140625" style="348"/>
    <col min="8705" max="8705" width="14.85546875" style="348" bestFit="1" customWidth="1"/>
    <col min="8706" max="8706" width="21" style="348" customWidth="1"/>
    <col min="8707" max="8707" width="73.140625" style="348" bestFit="1" customWidth="1"/>
    <col min="8708" max="8708" width="79.7109375" style="348" bestFit="1" customWidth="1"/>
    <col min="8709" max="8709" width="26.140625" style="348" customWidth="1"/>
    <col min="8710" max="8710" width="0" style="348" hidden="1" customWidth="1"/>
    <col min="8711" max="8711" width="19.5703125" style="348" customWidth="1"/>
    <col min="8712" max="8712" width="16.7109375" style="348" customWidth="1"/>
    <col min="8713" max="8714" width="9.140625" style="348"/>
    <col min="8715" max="8715" width="110.28515625" style="348" customWidth="1"/>
    <col min="8716" max="8960" width="9.140625" style="348"/>
    <col min="8961" max="8961" width="14.85546875" style="348" bestFit="1" customWidth="1"/>
    <col min="8962" max="8962" width="21" style="348" customWidth="1"/>
    <col min="8963" max="8963" width="73.140625" style="348" bestFit="1" customWidth="1"/>
    <col min="8964" max="8964" width="79.7109375" style="348" bestFit="1" customWidth="1"/>
    <col min="8965" max="8965" width="26.140625" style="348" customWidth="1"/>
    <col min="8966" max="8966" width="0" style="348" hidden="1" customWidth="1"/>
    <col min="8967" max="8967" width="19.5703125" style="348" customWidth="1"/>
    <col min="8968" max="8968" width="16.7109375" style="348" customWidth="1"/>
    <col min="8969" max="8970" width="9.140625" style="348"/>
    <col min="8971" max="8971" width="110.28515625" style="348" customWidth="1"/>
    <col min="8972" max="9216" width="9.140625" style="348"/>
    <col min="9217" max="9217" width="14.85546875" style="348" bestFit="1" customWidth="1"/>
    <col min="9218" max="9218" width="21" style="348" customWidth="1"/>
    <col min="9219" max="9219" width="73.140625" style="348" bestFit="1" customWidth="1"/>
    <col min="9220" max="9220" width="79.7109375" style="348" bestFit="1" customWidth="1"/>
    <col min="9221" max="9221" width="26.140625" style="348" customWidth="1"/>
    <col min="9222" max="9222" width="0" style="348" hidden="1" customWidth="1"/>
    <col min="9223" max="9223" width="19.5703125" style="348" customWidth="1"/>
    <col min="9224" max="9224" width="16.7109375" style="348" customWidth="1"/>
    <col min="9225" max="9226" width="9.140625" style="348"/>
    <col min="9227" max="9227" width="110.28515625" style="348" customWidth="1"/>
    <col min="9228" max="9472" width="9.140625" style="348"/>
    <col min="9473" max="9473" width="14.85546875" style="348" bestFit="1" customWidth="1"/>
    <col min="9474" max="9474" width="21" style="348" customWidth="1"/>
    <col min="9475" max="9475" width="73.140625" style="348" bestFit="1" customWidth="1"/>
    <col min="9476" max="9476" width="79.7109375" style="348" bestFit="1" customWidth="1"/>
    <col min="9477" max="9477" width="26.140625" style="348" customWidth="1"/>
    <col min="9478" max="9478" width="0" style="348" hidden="1" customWidth="1"/>
    <col min="9479" max="9479" width="19.5703125" style="348" customWidth="1"/>
    <col min="9480" max="9480" width="16.7109375" style="348" customWidth="1"/>
    <col min="9481" max="9482" width="9.140625" style="348"/>
    <col min="9483" max="9483" width="110.28515625" style="348" customWidth="1"/>
    <col min="9484" max="9728" width="9.140625" style="348"/>
    <col min="9729" max="9729" width="14.85546875" style="348" bestFit="1" customWidth="1"/>
    <col min="9730" max="9730" width="21" style="348" customWidth="1"/>
    <col min="9731" max="9731" width="73.140625" style="348" bestFit="1" customWidth="1"/>
    <col min="9732" max="9732" width="79.7109375" style="348" bestFit="1" customWidth="1"/>
    <col min="9733" max="9733" width="26.140625" style="348" customWidth="1"/>
    <col min="9734" max="9734" width="0" style="348" hidden="1" customWidth="1"/>
    <col min="9735" max="9735" width="19.5703125" style="348" customWidth="1"/>
    <col min="9736" max="9736" width="16.7109375" style="348" customWidth="1"/>
    <col min="9737" max="9738" width="9.140625" style="348"/>
    <col min="9739" max="9739" width="110.28515625" style="348" customWidth="1"/>
    <col min="9740" max="9984" width="9.140625" style="348"/>
    <col min="9985" max="9985" width="14.85546875" style="348" bestFit="1" customWidth="1"/>
    <col min="9986" max="9986" width="21" style="348" customWidth="1"/>
    <col min="9987" max="9987" width="73.140625" style="348" bestFit="1" customWidth="1"/>
    <col min="9988" max="9988" width="79.7109375" style="348" bestFit="1" customWidth="1"/>
    <col min="9989" max="9989" width="26.140625" style="348" customWidth="1"/>
    <col min="9990" max="9990" width="0" style="348" hidden="1" customWidth="1"/>
    <col min="9991" max="9991" width="19.5703125" style="348" customWidth="1"/>
    <col min="9992" max="9992" width="16.7109375" style="348" customWidth="1"/>
    <col min="9993" max="9994" width="9.140625" style="348"/>
    <col min="9995" max="9995" width="110.28515625" style="348" customWidth="1"/>
    <col min="9996" max="10240" width="9.140625" style="348"/>
    <col min="10241" max="10241" width="14.85546875" style="348" bestFit="1" customWidth="1"/>
    <col min="10242" max="10242" width="21" style="348" customWidth="1"/>
    <col min="10243" max="10243" width="73.140625" style="348" bestFit="1" customWidth="1"/>
    <col min="10244" max="10244" width="79.7109375" style="348" bestFit="1" customWidth="1"/>
    <col min="10245" max="10245" width="26.140625" style="348" customWidth="1"/>
    <col min="10246" max="10246" width="0" style="348" hidden="1" customWidth="1"/>
    <col min="10247" max="10247" width="19.5703125" style="348" customWidth="1"/>
    <col min="10248" max="10248" width="16.7109375" style="348" customWidth="1"/>
    <col min="10249" max="10250" width="9.140625" style="348"/>
    <col min="10251" max="10251" width="110.28515625" style="348" customWidth="1"/>
    <col min="10252" max="10496" width="9.140625" style="348"/>
    <col min="10497" max="10497" width="14.85546875" style="348" bestFit="1" customWidth="1"/>
    <col min="10498" max="10498" width="21" style="348" customWidth="1"/>
    <col min="10499" max="10499" width="73.140625" style="348" bestFit="1" customWidth="1"/>
    <col min="10500" max="10500" width="79.7109375" style="348" bestFit="1" customWidth="1"/>
    <col min="10501" max="10501" width="26.140625" style="348" customWidth="1"/>
    <col min="10502" max="10502" width="0" style="348" hidden="1" customWidth="1"/>
    <col min="10503" max="10503" width="19.5703125" style="348" customWidth="1"/>
    <col min="10504" max="10504" width="16.7109375" style="348" customWidth="1"/>
    <col min="10505" max="10506" width="9.140625" style="348"/>
    <col min="10507" max="10507" width="110.28515625" style="348" customWidth="1"/>
    <col min="10508" max="10752" width="9.140625" style="348"/>
    <col min="10753" max="10753" width="14.85546875" style="348" bestFit="1" customWidth="1"/>
    <col min="10754" max="10754" width="21" style="348" customWidth="1"/>
    <col min="10755" max="10755" width="73.140625" style="348" bestFit="1" customWidth="1"/>
    <col min="10756" max="10756" width="79.7109375" style="348" bestFit="1" customWidth="1"/>
    <col min="10757" max="10757" width="26.140625" style="348" customWidth="1"/>
    <col min="10758" max="10758" width="0" style="348" hidden="1" customWidth="1"/>
    <col min="10759" max="10759" width="19.5703125" style="348" customWidth="1"/>
    <col min="10760" max="10760" width="16.7109375" style="348" customWidth="1"/>
    <col min="10761" max="10762" width="9.140625" style="348"/>
    <col min="10763" max="10763" width="110.28515625" style="348" customWidth="1"/>
    <col min="10764" max="11008" width="9.140625" style="348"/>
    <col min="11009" max="11009" width="14.85546875" style="348" bestFit="1" customWidth="1"/>
    <col min="11010" max="11010" width="21" style="348" customWidth="1"/>
    <col min="11011" max="11011" width="73.140625" style="348" bestFit="1" customWidth="1"/>
    <col min="11012" max="11012" width="79.7109375" style="348" bestFit="1" customWidth="1"/>
    <col min="11013" max="11013" width="26.140625" style="348" customWidth="1"/>
    <col min="11014" max="11014" width="0" style="348" hidden="1" customWidth="1"/>
    <col min="11015" max="11015" width="19.5703125" style="348" customWidth="1"/>
    <col min="11016" max="11016" width="16.7109375" style="348" customWidth="1"/>
    <col min="11017" max="11018" width="9.140625" style="348"/>
    <col min="11019" max="11019" width="110.28515625" style="348" customWidth="1"/>
    <col min="11020" max="11264" width="9.140625" style="348"/>
    <col min="11265" max="11265" width="14.85546875" style="348" bestFit="1" customWidth="1"/>
    <col min="11266" max="11266" width="21" style="348" customWidth="1"/>
    <col min="11267" max="11267" width="73.140625" style="348" bestFit="1" customWidth="1"/>
    <col min="11268" max="11268" width="79.7109375" style="348" bestFit="1" customWidth="1"/>
    <col min="11269" max="11269" width="26.140625" style="348" customWidth="1"/>
    <col min="11270" max="11270" width="0" style="348" hidden="1" customWidth="1"/>
    <col min="11271" max="11271" width="19.5703125" style="348" customWidth="1"/>
    <col min="11272" max="11272" width="16.7109375" style="348" customWidth="1"/>
    <col min="11273" max="11274" width="9.140625" style="348"/>
    <col min="11275" max="11275" width="110.28515625" style="348" customWidth="1"/>
    <col min="11276" max="11520" width="9.140625" style="348"/>
    <col min="11521" max="11521" width="14.85546875" style="348" bestFit="1" customWidth="1"/>
    <col min="11522" max="11522" width="21" style="348" customWidth="1"/>
    <col min="11523" max="11523" width="73.140625" style="348" bestFit="1" customWidth="1"/>
    <col min="11524" max="11524" width="79.7109375" style="348" bestFit="1" customWidth="1"/>
    <col min="11525" max="11525" width="26.140625" style="348" customWidth="1"/>
    <col min="11526" max="11526" width="0" style="348" hidden="1" customWidth="1"/>
    <col min="11527" max="11527" width="19.5703125" style="348" customWidth="1"/>
    <col min="11528" max="11528" width="16.7109375" style="348" customWidth="1"/>
    <col min="11529" max="11530" width="9.140625" style="348"/>
    <col min="11531" max="11531" width="110.28515625" style="348" customWidth="1"/>
    <col min="11532" max="11776" width="9.140625" style="348"/>
    <col min="11777" max="11777" width="14.85546875" style="348" bestFit="1" customWidth="1"/>
    <col min="11778" max="11778" width="21" style="348" customWidth="1"/>
    <col min="11779" max="11779" width="73.140625" style="348" bestFit="1" customWidth="1"/>
    <col min="11780" max="11780" width="79.7109375" style="348" bestFit="1" customWidth="1"/>
    <col min="11781" max="11781" width="26.140625" style="348" customWidth="1"/>
    <col min="11782" max="11782" width="0" style="348" hidden="1" customWidth="1"/>
    <col min="11783" max="11783" width="19.5703125" style="348" customWidth="1"/>
    <col min="11784" max="11784" width="16.7109375" style="348" customWidth="1"/>
    <col min="11785" max="11786" width="9.140625" style="348"/>
    <col min="11787" max="11787" width="110.28515625" style="348" customWidth="1"/>
    <col min="11788" max="12032" width="9.140625" style="348"/>
    <col min="12033" max="12033" width="14.85546875" style="348" bestFit="1" customWidth="1"/>
    <col min="12034" max="12034" width="21" style="348" customWidth="1"/>
    <col min="12035" max="12035" width="73.140625" style="348" bestFit="1" customWidth="1"/>
    <col min="12036" max="12036" width="79.7109375" style="348" bestFit="1" customWidth="1"/>
    <col min="12037" max="12037" width="26.140625" style="348" customWidth="1"/>
    <col min="12038" max="12038" width="0" style="348" hidden="1" customWidth="1"/>
    <col min="12039" max="12039" width="19.5703125" style="348" customWidth="1"/>
    <col min="12040" max="12040" width="16.7109375" style="348" customWidth="1"/>
    <col min="12041" max="12042" width="9.140625" style="348"/>
    <col min="12043" max="12043" width="110.28515625" style="348" customWidth="1"/>
    <col min="12044" max="12288" width="9.140625" style="348"/>
    <col min="12289" max="12289" width="14.85546875" style="348" bestFit="1" customWidth="1"/>
    <col min="12290" max="12290" width="21" style="348" customWidth="1"/>
    <col min="12291" max="12291" width="73.140625" style="348" bestFit="1" customWidth="1"/>
    <col min="12292" max="12292" width="79.7109375" style="348" bestFit="1" customWidth="1"/>
    <col min="12293" max="12293" width="26.140625" style="348" customWidth="1"/>
    <col min="12294" max="12294" width="0" style="348" hidden="1" customWidth="1"/>
    <col min="12295" max="12295" width="19.5703125" style="348" customWidth="1"/>
    <col min="12296" max="12296" width="16.7109375" style="348" customWidth="1"/>
    <col min="12297" max="12298" width="9.140625" style="348"/>
    <col min="12299" max="12299" width="110.28515625" style="348" customWidth="1"/>
    <col min="12300" max="12544" width="9.140625" style="348"/>
    <col min="12545" max="12545" width="14.85546875" style="348" bestFit="1" customWidth="1"/>
    <col min="12546" max="12546" width="21" style="348" customWidth="1"/>
    <col min="12547" max="12547" width="73.140625" style="348" bestFit="1" customWidth="1"/>
    <col min="12548" max="12548" width="79.7109375" style="348" bestFit="1" customWidth="1"/>
    <col min="12549" max="12549" width="26.140625" style="348" customWidth="1"/>
    <col min="12550" max="12550" width="0" style="348" hidden="1" customWidth="1"/>
    <col min="12551" max="12551" width="19.5703125" style="348" customWidth="1"/>
    <col min="12552" max="12552" width="16.7109375" style="348" customWidth="1"/>
    <col min="12553" max="12554" width="9.140625" style="348"/>
    <col min="12555" max="12555" width="110.28515625" style="348" customWidth="1"/>
    <col min="12556" max="12800" width="9.140625" style="348"/>
    <col min="12801" max="12801" width="14.85546875" style="348" bestFit="1" customWidth="1"/>
    <col min="12802" max="12802" width="21" style="348" customWidth="1"/>
    <col min="12803" max="12803" width="73.140625" style="348" bestFit="1" customWidth="1"/>
    <col min="12804" max="12804" width="79.7109375" style="348" bestFit="1" customWidth="1"/>
    <col min="12805" max="12805" width="26.140625" style="348" customWidth="1"/>
    <col min="12806" max="12806" width="0" style="348" hidden="1" customWidth="1"/>
    <col min="12807" max="12807" width="19.5703125" style="348" customWidth="1"/>
    <col min="12808" max="12808" width="16.7109375" style="348" customWidth="1"/>
    <col min="12809" max="12810" width="9.140625" style="348"/>
    <col min="12811" max="12811" width="110.28515625" style="348" customWidth="1"/>
    <col min="12812" max="13056" width="9.140625" style="348"/>
    <col min="13057" max="13057" width="14.85546875" style="348" bestFit="1" customWidth="1"/>
    <col min="13058" max="13058" width="21" style="348" customWidth="1"/>
    <col min="13059" max="13059" width="73.140625" style="348" bestFit="1" customWidth="1"/>
    <col min="13060" max="13060" width="79.7109375" style="348" bestFit="1" customWidth="1"/>
    <col min="13061" max="13061" width="26.140625" style="348" customWidth="1"/>
    <col min="13062" max="13062" width="0" style="348" hidden="1" customWidth="1"/>
    <col min="13063" max="13063" width="19.5703125" style="348" customWidth="1"/>
    <col min="13064" max="13064" width="16.7109375" style="348" customWidth="1"/>
    <col min="13065" max="13066" width="9.140625" style="348"/>
    <col min="13067" max="13067" width="110.28515625" style="348" customWidth="1"/>
    <col min="13068" max="13312" width="9.140625" style="348"/>
    <col min="13313" max="13313" width="14.85546875" style="348" bestFit="1" customWidth="1"/>
    <col min="13314" max="13314" width="21" style="348" customWidth="1"/>
    <col min="13315" max="13315" width="73.140625" style="348" bestFit="1" customWidth="1"/>
    <col min="13316" max="13316" width="79.7109375" style="348" bestFit="1" customWidth="1"/>
    <col min="13317" max="13317" width="26.140625" style="348" customWidth="1"/>
    <col min="13318" max="13318" width="0" style="348" hidden="1" customWidth="1"/>
    <col min="13319" max="13319" width="19.5703125" style="348" customWidth="1"/>
    <col min="13320" max="13320" width="16.7109375" style="348" customWidth="1"/>
    <col min="13321" max="13322" width="9.140625" style="348"/>
    <col min="13323" max="13323" width="110.28515625" style="348" customWidth="1"/>
    <col min="13324" max="13568" width="9.140625" style="348"/>
    <col min="13569" max="13569" width="14.85546875" style="348" bestFit="1" customWidth="1"/>
    <col min="13570" max="13570" width="21" style="348" customWidth="1"/>
    <col min="13571" max="13571" width="73.140625" style="348" bestFit="1" customWidth="1"/>
    <col min="13572" max="13572" width="79.7109375" style="348" bestFit="1" customWidth="1"/>
    <col min="13573" max="13573" width="26.140625" style="348" customWidth="1"/>
    <col min="13574" max="13574" width="0" style="348" hidden="1" customWidth="1"/>
    <col min="13575" max="13575" width="19.5703125" style="348" customWidth="1"/>
    <col min="13576" max="13576" width="16.7109375" style="348" customWidth="1"/>
    <col min="13577" max="13578" width="9.140625" style="348"/>
    <col min="13579" max="13579" width="110.28515625" style="348" customWidth="1"/>
    <col min="13580" max="13824" width="9.140625" style="348"/>
    <col min="13825" max="13825" width="14.85546875" style="348" bestFit="1" customWidth="1"/>
    <col min="13826" max="13826" width="21" style="348" customWidth="1"/>
    <col min="13827" max="13827" width="73.140625" style="348" bestFit="1" customWidth="1"/>
    <col min="13828" max="13828" width="79.7109375" style="348" bestFit="1" customWidth="1"/>
    <col min="13829" max="13829" width="26.140625" style="348" customWidth="1"/>
    <col min="13830" max="13830" width="0" style="348" hidden="1" customWidth="1"/>
    <col min="13831" max="13831" width="19.5703125" style="348" customWidth="1"/>
    <col min="13832" max="13832" width="16.7109375" style="348" customWidth="1"/>
    <col min="13833" max="13834" width="9.140625" style="348"/>
    <col min="13835" max="13835" width="110.28515625" style="348" customWidth="1"/>
    <col min="13836" max="14080" width="9.140625" style="348"/>
    <col min="14081" max="14081" width="14.85546875" style="348" bestFit="1" customWidth="1"/>
    <col min="14082" max="14082" width="21" style="348" customWidth="1"/>
    <col min="14083" max="14083" width="73.140625" style="348" bestFit="1" customWidth="1"/>
    <col min="14084" max="14084" width="79.7109375" style="348" bestFit="1" customWidth="1"/>
    <col min="14085" max="14085" width="26.140625" style="348" customWidth="1"/>
    <col min="14086" max="14086" width="0" style="348" hidden="1" customWidth="1"/>
    <col min="14087" max="14087" width="19.5703125" style="348" customWidth="1"/>
    <col min="14088" max="14088" width="16.7109375" style="348" customWidth="1"/>
    <col min="14089" max="14090" width="9.140625" style="348"/>
    <col min="14091" max="14091" width="110.28515625" style="348" customWidth="1"/>
    <col min="14092" max="14336" width="9.140625" style="348"/>
    <col min="14337" max="14337" width="14.85546875" style="348" bestFit="1" customWidth="1"/>
    <col min="14338" max="14338" width="21" style="348" customWidth="1"/>
    <col min="14339" max="14339" width="73.140625" style="348" bestFit="1" customWidth="1"/>
    <col min="14340" max="14340" width="79.7109375" style="348" bestFit="1" customWidth="1"/>
    <col min="14341" max="14341" width="26.140625" style="348" customWidth="1"/>
    <col min="14342" max="14342" width="0" style="348" hidden="1" customWidth="1"/>
    <col min="14343" max="14343" width="19.5703125" style="348" customWidth="1"/>
    <col min="14344" max="14344" width="16.7109375" style="348" customWidth="1"/>
    <col min="14345" max="14346" width="9.140625" style="348"/>
    <col min="14347" max="14347" width="110.28515625" style="348" customWidth="1"/>
    <col min="14348" max="14592" width="9.140625" style="348"/>
    <col min="14593" max="14593" width="14.85546875" style="348" bestFit="1" customWidth="1"/>
    <col min="14594" max="14594" width="21" style="348" customWidth="1"/>
    <col min="14595" max="14595" width="73.140625" style="348" bestFit="1" customWidth="1"/>
    <col min="14596" max="14596" width="79.7109375" style="348" bestFit="1" customWidth="1"/>
    <col min="14597" max="14597" width="26.140625" style="348" customWidth="1"/>
    <col min="14598" max="14598" width="0" style="348" hidden="1" customWidth="1"/>
    <col min="14599" max="14599" width="19.5703125" style="348" customWidth="1"/>
    <col min="14600" max="14600" width="16.7109375" style="348" customWidth="1"/>
    <col min="14601" max="14602" width="9.140625" style="348"/>
    <col min="14603" max="14603" width="110.28515625" style="348" customWidth="1"/>
    <col min="14604" max="14848" width="9.140625" style="348"/>
    <col min="14849" max="14849" width="14.85546875" style="348" bestFit="1" customWidth="1"/>
    <col min="14850" max="14850" width="21" style="348" customWidth="1"/>
    <col min="14851" max="14851" width="73.140625" style="348" bestFit="1" customWidth="1"/>
    <col min="14852" max="14852" width="79.7109375" style="348" bestFit="1" customWidth="1"/>
    <col min="14853" max="14853" width="26.140625" style="348" customWidth="1"/>
    <col min="14854" max="14854" width="0" style="348" hidden="1" customWidth="1"/>
    <col min="14855" max="14855" width="19.5703125" style="348" customWidth="1"/>
    <col min="14856" max="14856" width="16.7109375" style="348" customWidth="1"/>
    <col min="14857" max="14858" width="9.140625" style="348"/>
    <col min="14859" max="14859" width="110.28515625" style="348" customWidth="1"/>
    <col min="14860" max="15104" width="9.140625" style="348"/>
    <col min="15105" max="15105" width="14.85546875" style="348" bestFit="1" customWidth="1"/>
    <col min="15106" max="15106" width="21" style="348" customWidth="1"/>
    <col min="15107" max="15107" width="73.140625" style="348" bestFit="1" customWidth="1"/>
    <col min="15108" max="15108" width="79.7109375" style="348" bestFit="1" customWidth="1"/>
    <col min="15109" max="15109" width="26.140625" style="348" customWidth="1"/>
    <col min="15110" max="15110" width="0" style="348" hidden="1" customWidth="1"/>
    <col min="15111" max="15111" width="19.5703125" style="348" customWidth="1"/>
    <col min="15112" max="15112" width="16.7109375" style="348" customWidth="1"/>
    <col min="15113" max="15114" width="9.140625" style="348"/>
    <col min="15115" max="15115" width="110.28515625" style="348" customWidth="1"/>
    <col min="15116" max="15360" width="9.140625" style="348"/>
    <col min="15361" max="15361" width="14.85546875" style="348" bestFit="1" customWidth="1"/>
    <col min="15362" max="15362" width="21" style="348" customWidth="1"/>
    <col min="15363" max="15363" width="73.140625" style="348" bestFit="1" customWidth="1"/>
    <col min="15364" max="15364" width="79.7109375" style="348" bestFit="1" customWidth="1"/>
    <col min="15365" max="15365" width="26.140625" style="348" customWidth="1"/>
    <col min="15366" max="15366" width="0" style="348" hidden="1" customWidth="1"/>
    <col min="15367" max="15367" width="19.5703125" style="348" customWidth="1"/>
    <col min="15368" max="15368" width="16.7109375" style="348" customWidth="1"/>
    <col min="15369" max="15370" width="9.140625" style="348"/>
    <col min="15371" max="15371" width="110.28515625" style="348" customWidth="1"/>
    <col min="15372" max="15616" width="9.140625" style="348"/>
    <col min="15617" max="15617" width="14.85546875" style="348" bestFit="1" customWidth="1"/>
    <col min="15618" max="15618" width="21" style="348" customWidth="1"/>
    <col min="15619" max="15619" width="73.140625" style="348" bestFit="1" customWidth="1"/>
    <col min="15620" max="15620" width="79.7109375" style="348" bestFit="1" customWidth="1"/>
    <col min="15621" max="15621" width="26.140625" style="348" customWidth="1"/>
    <col min="15622" max="15622" width="0" style="348" hidden="1" customWidth="1"/>
    <col min="15623" max="15623" width="19.5703125" style="348" customWidth="1"/>
    <col min="15624" max="15624" width="16.7109375" style="348" customWidth="1"/>
    <col min="15625" max="15626" width="9.140625" style="348"/>
    <col min="15627" max="15627" width="110.28515625" style="348" customWidth="1"/>
    <col min="15628" max="15872" width="9.140625" style="348"/>
    <col min="15873" max="15873" width="14.85546875" style="348" bestFit="1" customWidth="1"/>
    <col min="15874" max="15874" width="21" style="348" customWidth="1"/>
    <col min="15875" max="15875" width="73.140625" style="348" bestFit="1" customWidth="1"/>
    <col min="15876" max="15876" width="79.7109375" style="348" bestFit="1" customWidth="1"/>
    <col min="15877" max="15877" width="26.140625" style="348" customWidth="1"/>
    <col min="15878" max="15878" width="0" style="348" hidden="1" customWidth="1"/>
    <col min="15879" max="15879" width="19.5703125" style="348" customWidth="1"/>
    <col min="15880" max="15880" width="16.7109375" style="348" customWidth="1"/>
    <col min="15881" max="15882" width="9.140625" style="348"/>
    <col min="15883" max="15883" width="110.28515625" style="348" customWidth="1"/>
    <col min="15884" max="16128" width="9.140625" style="348"/>
    <col min="16129" max="16129" width="14.85546875" style="348" bestFit="1" customWidth="1"/>
    <col min="16130" max="16130" width="21" style="348" customWidth="1"/>
    <col min="16131" max="16131" width="73.140625" style="348" bestFit="1" customWidth="1"/>
    <col min="16132" max="16132" width="79.7109375" style="348" bestFit="1" customWidth="1"/>
    <col min="16133" max="16133" width="26.140625" style="348" customWidth="1"/>
    <col min="16134" max="16134" width="0" style="348" hidden="1" customWidth="1"/>
    <col min="16135" max="16135" width="19.5703125" style="348" customWidth="1"/>
    <col min="16136" max="16136" width="16.7109375" style="348" customWidth="1"/>
    <col min="16137" max="16138" width="9.140625" style="348"/>
    <col min="16139" max="16139" width="110.28515625" style="348" customWidth="1"/>
    <col min="16140" max="16384" width="9.140625" style="348"/>
  </cols>
  <sheetData>
    <row r="1" spans="1:11" s="343" customFormat="1" ht="18.75" x14ac:dyDescent="0.3">
      <c r="A1" s="342" t="s">
        <v>311</v>
      </c>
      <c r="C1" s="344"/>
      <c r="D1" s="345" t="s">
        <v>312</v>
      </c>
      <c r="E1" s="589">
        <v>44313</v>
      </c>
      <c r="F1" s="346"/>
      <c r="G1" s="346"/>
      <c r="H1" s="347"/>
    </row>
    <row r="2" spans="1:11" ht="15" x14ac:dyDescent="0.25">
      <c r="A2" s="352" t="s">
        <v>46</v>
      </c>
      <c r="K2" s="348"/>
    </row>
    <row r="3" spans="1:11" ht="13.5" thickBot="1" x14ac:dyDescent="0.25">
      <c r="A3" s="350"/>
      <c r="B3" s="350"/>
      <c r="C3" s="349"/>
      <c r="K3" s="348"/>
    </row>
    <row r="4" spans="1:11" ht="21.75" thickBot="1" x14ac:dyDescent="0.25">
      <c r="A4" s="351"/>
      <c r="B4" s="351"/>
      <c r="C4" s="705" t="s">
        <v>313</v>
      </c>
      <c r="D4" s="706"/>
      <c r="K4" s="348"/>
    </row>
    <row r="5" spans="1:11" ht="16.5" thickBot="1" x14ac:dyDescent="0.3">
      <c r="A5" s="385" t="s">
        <v>314</v>
      </c>
      <c r="B5" s="386" t="s">
        <v>315</v>
      </c>
      <c r="C5" s="386" t="s">
        <v>316</v>
      </c>
      <c r="D5" s="385" t="s">
        <v>317</v>
      </c>
      <c r="G5" s="353"/>
      <c r="H5" s="354"/>
      <c r="I5" s="355"/>
      <c r="J5" s="355"/>
      <c r="K5" s="356"/>
    </row>
    <row r="6" spans="1:11" ht="15.75" thickBot="1" x14ac:dyDescent="0.3">
      <c r="A6" s="388" t="s">
        <v>318</v>
      </c>
      <c r="B6" s="388" t="s">
        <v>244</v>
      </c>
      <c r="C6" s="656" t="s">
        <v>291</v>
      </c>
      <c r="D6" s="590" t="s">
        <v>319</v>
      </c>
      <c r="E6" s="357"/>
      <c r="H6" s="354"/>
      <c r="I6" s="355"/>
      <c r="J6" s="355"/>
      <c r="K6" s="358"/>
    </row>
    <row r="7" spans="1:11" ht="15.75" thickBot="1" x14ac:dyDescent="0.3">
      <c r="A7" s="389"/>
      <c r="B7" s="389"/>
      <c r="C7" s="656" t="s">
        <v>292</v>
      </c>
      <c r="D7" s="596" t="s">
        <v>319</v>
      </c>
      <c r="E7" s="365"/>
      <c r="G7" s="364"/>
      <c r="H7" s="364"/>
      <c r="I7" s="364"/>
    </row>
    <row r="8" spans="1:11" ht="15.75" thickBot="1" x14ac:dyDescent="0.3">
      <c r="A8" s="389"/>
      <c r="B8" s="389"/>
      <c r="C8" s="656" t="s">
        <v>293</v>
      </c>
      <c r="D8" s="592" t="s">
        <v>319</v>
      </c>
    </row>
    <row r="9" spans="1:11" s="349" customFormat="1" ht="15.75" thickBot="1" x14ac:dyDescent="0.3">
      <c r="A9" s="389"/>
      <c r="B9" s="389"/>
      <c r="C9" s="656" t="s">
        <v>294</v>
      </c>
      <c r="D9" s="593" t="s">
        <v>319</v>
      </c>
      <c r="E9" s="366"/>
      <c r="G9" s="366"/>
      <c r="I9" s="348"/>
      <c r="J9" s="348"/>
      <c r="K9" s="363"/>
    </row>
    <row r="10" spans="1:11" s="349" customFormat="1" ht="15.75" thickBot="1" x14ac:dyDescent="0.3">
      <c r="A10" s="389"/>
      <c r="B10" s="389"/>
      <c r="C10" s="591" t="s">
        <v>320</v>
      </c>
      <c r="D10" s="594" t="s">
        <v>319</v>
      </c>
      <c r="E10" s="366"/>
      <c r="I10" s="348"/>
      <c r="J10" s="348"/>
      <c r="K10" s="363"/>
    </row>
    <row r="11" spans="1:11" s="349" customFormat="1" ht="15.75" thickBot="1" x14ac:dyDescent="0.3">
      <c r="A11" s="389"/>
      <c r="B11" s="389"/>
      <c r="C11" s="656" t="s">
        <v>296</v>
      </c>
      <c r="D11" s="592" t="s">
        <v>319</v>
      </c>
      <c r="E11" s="366"/>
      <c r="I11" s="348"/>
      <c r="J11" s="348"/>
      <c r="K11" s="363"/>
    </row>
    <row r="12" spans="1:11" s="349" customFormat="1" ht="15.75" thickBot="1" x14ac:dyDescent="0.3">
      <c r="A12" s="389"/>
      <c r="B12" s="389"/>
      <c r="C12" s="656" t="s">
        <v>297</v>
      </c>
      <c r="D12" s="593" t="s">
        <v>319</v>
      </c>
      <c r="I12" s="348"/>
      <c r="J12" s="348"/>
      <c r="K12" s="363"/>
    </row>
    <row r="13" spans="1:11" s="349" customFormat="1" ht="15.75" thickBot="1" x14ac:dyDescent="0.3">
      <c r="A13" s="389"/>
      <c r="B13" s="389"/>
      <c r="C13" s="656" t="s">
        <v>298</v>
      </c>
      <c r="D13" s="595" t="s">
        <v>319</v>
      </c>
      <c r="I13" s="348"/>
      <c r="J13" s="348"/>
      <c r="K13" s="363"/>
    </row>
    <row r="14" spans="1:11" ht="15.75" thickBot="1" x14ac:dyDescent="0.3">
      <c r="A14" s="389"/>
      <c r="B14" s="389"/>
      <c r="C14" s="656" t="s">
        <v>299</v>
      </c>
      <c r="D14" s="593" t="s">
        <v>319</v>
      </c>
    </row>
    <row r="15" spans="1:11" ht="15.75" thickBot="1" x14ac:dyDescent="0.3">
      <c r="A15" s="431"/>
      <c r="B15" s="435"/>
      <c r="C15" s="656" t="s">
        <v>121</v>
      </c>
      <c r="D15" s="593" t="s">
        <v>319</v>
      </c>
      <c r="E15" s="381"/>
      <c r="F15" s="382"/>
    </row>
    <row r="16" spans="1:11" ht="15.75" thickBot="1" x14ac:dyDescent="0.25">
      <c r="A16" s="432"/>
      <c r="B16" s="432"/>
      <c r="C16" s="437" t="s">
        <v>264</v>
      </c>
      <c r="D16" s="423" t="s">
        <v>321</v>
      </c>
    </row>
    <row r="17" spans="1:8" ht="19.5" thickBot="1" x14ac:dyDescent="0.25">
      <c r="A17" s="433"/>
      <c r="B17" s="436"/>
      <c r="C17" s="705" t="s">
        <v>322</v>
      </c>
      <c r="D17" s="706"/>
      <c r="E17" s="382"/>
      <c r="F17" s="382"/>
    </row>
    <row r="18" spans="1:8" ht="16.5" thickBot="1" x14ac:dyDescent="0.3">
      <c r="A18" s="432"/>
      <c r="B18" s="432"/>
      <c r="C18" s="387" t="s">
        <v>323</v>
      </c>
      <c r="D18" s="424" t="s">
        <v>324</v>
      </c>
      <c r="E18" s="382"/>
      <c r="F18" s="382"/>
    </row>
    <row r="19" spans="1:8" x14ac:dyDescent="0.2">
      <c r="A19" s="432"/>
      <c r="B19" s="429"/>
      <c r="C19" s="438"/>
      <c r="D19" s="425"/>
      <c r="E19" s="382"/>
      <c r="F19" s="382"/>
      <c r="G19" s="348"/>
      <c r="H19" s="348"/>
    </row>
    <row r="20" spans="1:8" x14ac:dyDescent="0.2">
      <c r="A20" s="432"/>
      <c r="B20" s="429"/>
      <c r="C20" s="439"/>
      <c r="D20" s="426"/>
      <c r="E20" s="382"/>
      <c r="F20" s="382"/>
    </row>
    <row r="21" spans="1:8" x14ac:dyDescent="0.2">
      <c r="A21" s="432"/>
      <c r="B21" s="429"/>
      <c r="C21" s="439"/>
      <c r="D21" s="426"/>
      <c r="E21" s="382"/>
      <c r="F21" s="382"/>
    </row>
    <row r="22" spans="1:8" x14ac:dyDescent="0.2">
      <c r="A22" s="432"/>
      <c r="B22" s="429"/>
      <c r="C22" s="439"/>
      <c r="D22" s="426"/>
    </row>
    <row r="23" spans="1:8" x14ac:dyDescent="0.2">
      <c r="A23" s="432"/>
      <c r="B23" s="429"/>
      <c r="C23" s="439"/>
      <c r="D23" s="426"/>
    </row>
    <row r="24" spans="1:8" x14ac:dyDescent="0.2">
      <c r="A24" s="432"/>
      <c r="B24" s="429"/>
      <c r="C24" s="439"/>
      <c r="D24" s="427"/>
    </row>
    <row r="25" spans="1:8" x14ac:dyDescent="0.2">
      <c r="A25" s="432"/>
      <c r="B25" s="429"/>
      <c r="C25" s="439"/>
      <c r="D25" s="427"/>
    </row>
    <row r="26" spans="1:8" ht="13.5" thickBot="1" x14ac:dyDescent="0.25">
      <c r="A26" s="434"/>
      <c r="B26" s="430"/>
      <c r="C26" s="440"/>
      <c r="D26" s="428"/>
    </row>
    <row r="27" spans="1:8" x14ac:dyDescent="0.2">
      <c r="D27" s="380"/>
    </row>
    <row r="28" spans="1:8" x14ac:dyDescent="0.2">
      <c r="A28" s="407" t="s">
        <v>325</v>
      </c>
    </row>
    <row r="29" spans="1:8" ht="15.75" x14ac:dyDescent="0.2">
      <c r="D29" s="383"/>
    </row>
  </sheetData>
  <sortState xmlns:xlrd2="http://schemas.microsoft.com/office/spreadsheetml/2017/richdata2" ref="D11">
    <sortCondition ref="D11"/>
  </sortState>
  <mergeCells count="2">
    <mergeCell ref="C4:D4"/>
    <mergeCell ref="C17:D17"/>
  </mergeCells>
  <hyperlinks>
    <hyperlink ref="A2" location="Inventory!A1" display="Inventory" xr:uid="{00000000-0004-0000-0900-000000000000}"/>
    <hyperlink ref="E1" r:id="rId1" display="https://flankspeed.sharepoint-mil.us.mcas-gov.us/sites/CPF-CNAP-HQ/N42/N422/SharedDocuments/Forms/AllItems.aspx?id=%2Fsites%2FCPF%2DCNAP%2DHQ%2FN42%2FN422%2FSharedDocuments%2FN422C%20NAMP%2FMESMs%2FP%2D8A%20MESM%2C%2022%20APR%202021%2Epdf&amp;parent=%2Fsites%2FCPF%2DCNAP%2DHQ%2FN42%2FN422%2FSharedDocuments%2FN422C%20NAMP%2FMESMs" xr:uid="{00000000-0004-0000-0900-000001000000}"/>
  </hyperlinks>
  <pageMargins left="0.25" right="0.25" top="0.25" bottom="0.25" header="0.5" footer="0.5"/>
  <pageSetup scale="38" orientation="portrait" horizontalDpi="300" verticalDpi="300"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K132"/>
  <sheetViews>
    <sheetView showGridLines="0" topLeftCell="A89" zoomScale="75" workbookViewId="0">
      <selection activeCell="A2" sqref="A2"/>
    </sheetView>
  </sheetViews>
  <sheetFormatPr defaultRowHeight="12.75" x14ac:dyDescent="0.2"/>
  <cols>
    <col min="1" max="1" width="20.7109375" style="348" customWidth="1"/>
    <col min="2" max="2" width="18.28515625" style="348" bestFit="1" customWidth="1"/>
    <col min="3" max="3" width="76" style="348" bestFit="1" customWidth="1"/>
    <col min="4" max="4" width="88.28515625" style="349" bestFit="1" customWidth="1"/>
    <col min="5" max="5" width="13.7109375" style="349" bestFit="1" customWidth="1"/>
    <col min="6" max="6" width="20.140625" style="349" customWidth="1"/>
    <col min="7" max="7" width="19.5703125" style="349" customWidth="1"/>
    <col min="8" max="8" width="16.7109375" style="349" customWidth="1"/>
    <col min="9" max="10" width="9.140625" style="348"/>
    <col min="11" max="11" width="110.28515625" style="363" customWidth="1"/>
    <col min="12" max="256" width="9.140625" style="348"/>
    <col min="257" max="257" width="14.85546875" style="348" bestFit="1" customWidth="1"/>
    <col min="258" max="258" width="21" style="348" customWidth="1"/>
    <col min="259" max="259" width="73.140625" style="348" bestFit="1" customWidth="1"/>
    <col min="260" max="260" width="79.7109375" style="348" bestFit="1" customWidth="1"/>
    <col min="261" max="261" width="26.140625" style="348" customWidth="1"/>
    <col min="262" max="262" width="0" style="348" hidden="1" customWidth="1"/>
    <col min="263" max="263" width="19.5703125" style="348" customWidth="1"/>
    <col min="264" max="264" width="16.7109375" style="348" customWidth="1"/>
    <col min="265" max="266" width="9.140625" style="348"/>
    <col min="267" max="267" width="110.28515625" style="348" customWidth="1"/>
    <col min="268" max="512" width="9.140625" style="348"/>
    <col min="513" max="513" width="14.85546875" style="348" bestFit="1" customWidth="1"/>
    <col min="514" max="514" width="21" style="348" customWidth="1"/>
    <col min="515" max="515" width="73.140625" style="348" bestFit="1" customWidth="1"/>
    <col min="516" max="516" width="79.7109375" style="348" bestFit="1" customWidth="1"/>
    <col min="517" max="517" width="26.140625" style="348" customWidth="1"/>
    <col min="518" max="518" width="0" style="348" hidden="1" customWidth="1"/>
    <col min="519" max="519" width="19.5703125" style="348" customWidth="1"/>
    <col min="520" max="520" width="16.7109375" style="348" customWidth="1"/>
    <col min="521" max="522" width="9.140625" style="348"/>
    <col min="523" max="523" width="110.28515625" style="348" customWidth="1"/>
    <col min="524" max="768" width="9.140625" style="348"/>
    <col min="769" max="769" width="14.85546875" style="348" bestFit="1" customWidth="1"/>
    <col min="770" max="770" width="21" style="348" customWidth="1"/>
    <col min="771" max="771" width="73.140625" style="348" bestFit="1" customWidth="1"/>
    <col min="772" max="772" width="79.7109375" style="348" bestFit="1" customWidth="1"/>
    <col min="773" max="773" width="26.140625" style="348" customWidth="1"/>
    <col min="774" max="774" width="0" style="348" hidden="1" customWidth="1"/>
    <col min="775" max="775" width="19.5703125" style="348" customWidth="1"/>
    <col min="776" max="776" width="16.7109375" style="348" customWidth="1"/>
    <col min="777" max="778" width="9.140625" style="348"/>
    <col min="779" max="779" width="110.28515625" style="348" customWidth="1"/>
    <col min="780" max="1024" width="9.140625" style="348"/>
    <col min="1025" max="1025" width="14.85546875" style="348" bestFit="1" customWidth="1"/>
    <col min="1026" max="1026" width="21" style="348" customWidth="1"/>
    <col min="1027" max="1027" width="73.140625" style="348" bestFit="1" customWidth="1"/>
    <col min="1028" max="1028" width="79.7109375" style="348" bestFit="1" customWidth="1"/>
    <col min="1029" max="1029" width="26.140625" style="348" customWidth="1"/>
    <col min="1030" max="1030" width="0" style="348" hidden="1" customWidth="1"/>
    <col min="1031" max="1031" width="19.5703125" style="348" customWidth="1"/>
    <col min="1032" max="1032" width="16.7109375" style="348" customWidth="1"/>
    <col min="1033" max="1034" width="9.140625" style="348"/>
    <col min="1035" max="1035" width="110.28515625" style="348" customWidth="1"/>
    <col min="1036" max="1280" width="9.140625" style="348"/>
    <col min="1281" max="1281" width="14.85546875" style="348" bestFit="1" customWidth="1"/>
    <col min="1282" max="1282" width="21" style="348" customWidth="1"/>
    <col min="1283" max="1283" width="73.140625" style="348" bestFit="1" customWidth="1"/>
    <col min="1284" max="1284" width="79.7109375" style="348" bestFit="1" customWidth="1"/>
    <col min="1285" max="1285" width="26.140625" style="348" customWidth="1"/>
    <col min="1286" max="1286" width="0" style="348" hidden="1" customWidth="1"/>
    <col min="1287" max="1287" width="19.5703125" style="348" customWidth="1"/>
    <col min="1288" max="1288" width="16.7109375" style="348" customWidth="1"/>
    <col min="1289" max="1290" width="9.140625" style="348"/>
    <col min="1291" max="1291" width="110.28515625" style="348" customWidth="1"/>
    <col min="1292" max="1536" width="9.140625" style="348"/>
    <col min="1537" max="1537" width="14.85546875" style="348" bestFit="1" customWidth="1"/>
    <col min="1538" max="1538" width="21" style="348" customWidth="1"/>
    <col min="1539" max="1539" width="73.140625" style="348" bestFit="1" customWidth="1"/>
    <col min="1540" max="1540" width="79.7109375" style="348" bestFit="1" customWidth="1"/>
    <col min="1541" max="1541" width="26.140625" style="348" customWidth="1"/>
    <col min="1542" max="1542" width="0" style="348" hidden="1" customWidth="1"/>
    <col min="1543" max="1543" width="19.5703125" style="348" customWidth="1"/>
    <col min="1544" max="1544" width="16.7109375" style="348" customWidth="1"/>
    <col min="1545" max="1546" width="9.140625" style="348"/>
    <col min="1547" max="1547" width="110.28515625" style="348" customWidth="1"/>
    <col min="1548" max="1792" width="9.140625" style="348"/>
    <col min="1793" max="1793" width="14.85546875" style="348" bestFit="1" customWidth="1"/>
    <col min="1794" max="1794" width="21" style="348" customWidth="1"/>
    <col min="1795" max="1795" width="73.140625" style="348" bestFit="1" customWidth="1"/>
    <col min="1796" max="1796" width="79.7109375" style="348" bestFit="1" customWidth="1"/>
    <col min="1797" max="1797" width="26.140625" style="348" customWidth="1"/>
    <col min="1798" max="1798" width="0" style="348" hidden="1" customWidth="1"/>
    <col min="1799" max="1799" width="19.5703125" style="348" customWidth="1"/>
    <col min="1800" max="1800" width="16.7109375" style="348" customWidth="1"/>
    <col min="1801" max="1802" width="9.140625" style="348"/>
    <col min="1803" max="1803" width="110.28515625" style="348" customWidth="1"/>
    <col min="1804" max="2048" width="9.140625" style="348"/>
    <col min="2049" max="2049" width="14.85546875" style="348" bestFit="1" customWidth="1"/>
    <col min="2050" max="2050" width="21" style="348" customWidth="1"/>
    <col min="2051" max="2051" width="73.140625" style="348" bestFit="1" customWidth="1"/>
    <col min="2052" max="2052" width="79.7109375" style="348" bestFit="1" customWidth="1"/>
    <col min="2053" max="2053" width="26.140625" style="348" customWidth="1"/>
    <col min="2054" max="2054" width="0" style="348" hidden="1" customWidth="1"/>
    <col min="2055" max="2055" width="19.5703125" style="348" customWidth="1"/>
    <col min="2056" max="2056" width="16.7109375" style="348" customWidth="1"/>
    <col min="2057" max="2058" width="9.140625" style="348"/>
    <col min="2059" max="2059" width="110.28515625" style="348" customWidth="1"/>
    <col min="2060" max="2304" width="9.140625" style="348"/>
    <col min="2305" max="2305" width="14.85546875" style="348" bestFit="1" customWidth="1"/>
    <col min="2306" max="2306" width="21" style="348" customWidth="1"/>
    <col min="2307" max="2307" width="73.140625" style="348" bestFit="1" customWidth="1"/>
    <col min="2308" max="2308" width="79.7109375" style="348" bestFit="1" customWidth="1"/>
    <col min="2309" max="2309" width="26.140625" style="348" customWidth="1"/>
    <col min="2310" max="2310" width="0" style="348" hidden="1" customWidth="1"/>
    <col min="2311" max="2311" width="19.5703125" style="348" customWidth="1"/>
    <col min="2312" max="2312" width="16.7109375" style="348" customWidth="1"/>
    <col min="2313" max="2314" width="9.140625" style="348"/>
    <col min="2315" max="2315" width="110.28515625" style="348" customWidth="1"/>
    <col min="2316" max="2560" width="9.140625" style="348"/>
    <col min="2561" max="2561" width="14.85546875" style="348" bestFit="1" customWidth="1"/>
    <col min="2562" max="2562" width="21" style="348" customWidth="1"/>
    <col min="2563" max="2563" width="73.140625" style="348" bestFit="1" customWidth="1"/>
    <col min="2564" max="2564" width="79.7109375" style="348" bestFit="1" customWidth="1"/>
    <col min="2565" max="2565" width="26.140625" style="348" customWidth="1"/>
    <col min="2566" max="2566" width="0" style="348" hidden="1" customWidth="1"/>
    <col min="2567" max="2567" width="19.5703125" style="348" customWidth="1"/>
    <col min="2568" max="2568" width="16.7109375" style="348" customWidth="1"/>
    <col min="2569" max="2570" width="9.140625" style="348"/>
    <col min="2571" max="2571" width="110.28515625" style="348" customWidth="1"/>
    <col min="2572" max="2816" width="9.140625" style="348"/>
    <col min="2817" max="2817" width="14.85546875" style="348" bestFit="1" customWidth="1"/>
    <col min="2818" max="2818" width="21" style="348" customWidth="1"/>
    <col min="2819" max="2819" width="73.140625" style="348" bestFit="1" customWidth="1"/>
    <col min="2820" max="2820" width="79.7109375" style="348" bestFit="1" customWidth="1"/>
    <col min="2821" max="2821" width="26.140625" style="348" customWidth="1"/>
    <col min="2822" max="2822" width="0" style="348" hidden="1" customWidth="1"/>
    <col min="2823" max="2823" width="19.5703125" style="348" customWidth="1"/>
    <col min="2824" max="2824" width="16.7109375" style="348" customWidth="1"/>
    <col min="2825" max="2826" width="9.140625" style="348"/>
    <col min="2827" max="2827" width="110.28515625" style="348" customWidth="1"/>
    <col min="2828" max="3072" width="9.140625" style="348"/>
    <col min="3073" max="3073" width="14.85546875" style="348" bestFit="1" customWidth="1"/>
    <col min="3074" max="3074" width="21" style="348" customWidth="1"/>
    <col min="3075" max="3075" width="73.140625" style="348" bestFit="1" customWidth="1"/>
    <col min="3076" max="3076" width="79.7109375" style="348" bestFit="1" customWidth="1"/>
    <col min="3077" max="3077" width="26.140625" style="348" customWidth="1"/>
    <col min="3078" max="3078" width="0" style="348" hidden="1" customWidth="1"/>
    <col min="3079" max="3079" width="19.5703125" style="348" customWidth="1"/>
    <col min="3080" max="3080" width="16.7109375" style="348" customWidth="1"/>
    <col min="3081" max="3082" width="9.140625" style="348"/>
    <col min="3083" max="3083" width="110.28515625" style="348" customWidth="1"/>
    <col min="3084" max="3328" width="9.140625" style="348"/>
    <col min="3329" max="3329" width="14.85546875" style="348" bestFit="1" customWidth="1"/>
    <col min="3330" max="3330" width="21" style="348" customWidth="1"/>
    <col min="3331" max="3331" width="73.140625" style="348" bestFit="1" customWidth="1"/>
    <col min="3332" max="3332" width="79.7109375" style="348" bestFit="1" customWidth="1"/>
    <col min="3333" max="3333" width="26.140625" style="348" customWidth="1"/>
    <col min="3334" max="3334" width="0" style="348" hidden="1" customWidth="1"/>
    <col min="3335" max="3335" width="19.5703125" style="348" customWidth="1"/>
    <col min="3336" max="3336" width="16.7109375" style="348" customWidth="1"/>
    <col min="3337" max="3338" width="9.140625" style="348"/>
    <col min="3339" max="3339" width="110.28515625" style="348" customWidth="1"/>
    <col min="3340" max="3584" width="9.140625" style="348"/>
    <col min="3585" max="3585" width="14.85546875" style="348" bestFit="1" customWidth="1"/>
    <col min="3586" max="3586" width="21" style="348" customWidth="1"/>
    <col min="3587" max="3587" width="73.140625" style="348" bestFit="1" customWidth="1"/>
    <col min="3588" max="3588" width="79.7109375" style="348" bestFit="1" customWidth="1"/>
    <col min="3589" max="3589" width="26.140625" style="348" customWidth="1"/>
    <col min="3590" max="3590" width="0" style="348" hidden="1" customWidth="1"/>
    <col min="3591" max="3591" width="19.5703125" style="348" customWidth="1"/>
    <col min="3592" max="3592" width="16.7109375" style="348" customWidth="1"/>
    <col min="3593" max="3594" width="9.140625" style="348"/>
    <col min="3595" max="3595" width="110.28515625" style="348" customWidth="1"/>
    <col min="3596" max="3840" width="9.140625" style="348"/>
    <col min="3841" max="3841" width="14.85546875" style="348" bestFit="1" customWidth="1"/>
    <col min="3842" max="3842" width="21" style="348" customWidth="1"/>
    <col min="3843" max="3843" width="73.140625" style="348" bestFit="1" customWidth="1"/>
    <col min="3844" max="3844" width="79.7109375" style="348" bestFit="1" customWidth="1"/>
    <col min="3845" max="3845" width="26.140625" style="348" customWidth="1"/>
    <col min="3846" max="3846" width="0" style="348" hidden="1" customWidth="1"/>
    <col min="3847" max="3847" width="19.5703125" style="348" customWidth="1"/>
    <col min="3848" max="3848" width="16.7109375" style="348" customWidth="1"/>
    <col min="3849" max="3850" width="9.140625" style="348"/>
    <col min="3851" max="3851" width="110.28515625" style="348" customWidth="1"/>
    <col min="3852" max="4096" width="9.140625" style="348"/>
    <col min="4097" max="4097" width="14.85546875" style="348" bestFit="1" customWidth="1"/>
    <col min="4098" max="4098" width="21" style="348" customWidth="1"/>
    <col min="4099" max="4099" width="73.140625" style="348" bestFit="1" customWidth="1"/>
    <col min="4100" max="4100" width="79.7109375" style="348" bestFit="1" customWidth="1"/>
    <col min="4101" max="4101" width="26.140625" style="348" customWidth="1"/>
    <col min="4102" max="4102" width="0" style="348" hidden="1" customWidth="1"/>
    <col min="4103" max="4103" width="19.5703125" style="348" customWidth="1"/>
    <col min="4104" max="4104" width="16.7109375" style="348" customWidth="1"/>
    <col min="4105" max="4106" width="9.140625" style="348"/>
    <col min="4107" max="4107" width="110.28515625" style="348" customWidth="1"/>
    <col min="4108" max="4352" width="9.140625" style="348"/>
    <col min="4353" max="4353" width="14.85546875" style="348" bestFit="1" customWidth="1"/>
    <col min="4354" max="4354" width="21" style="348" customWidth="1"/>
    <col min="4355" max="4355" width="73.140625" style="348" bestFit="1" customWidth="1"/>
    <col min="4356" max="4356" width="79.7109375" style="348" bestFit="1" customWidth="1"/>
    <col min="4357" max="4357" width="26.140625" style="348" customWidth="1"/>
    <col min="4358" max="4358" width="0" style="348" hidden="1" customWidth="1"/>
    <col min="4359" max="4359" width="19.5703125" style="348" customWidth="1"/>
    <col min="4360" max="4360" width="16.7109375" style="348" customWidth="1"/>
    <col min="4361" max="4362" width="9.140625" style="348"/>
    <col min="4363" max="4363" width="110.28515625" style="348" customWidth="1"/>
    <col min="4364" max="4608" width="9.140625" style="348"/>
    <col min="4609" max="4609" width="14.85546875" style="348" bestFit="1" customWidth="1"/>
    <col min="4610" max="4610" width="21" style="348" customWidth="1"/>
    <col min="4611" max="4611" width="73.140625" style="348" bestFit="1" customWidth="1"/>
    <col min="4612" max="4612" width="79.7109375" style="348" bestFit="1" customWidth="1"/>
    <col min="4613" max="4613" width="26.140625" style="348" customWidth="1"/>
    <col min="4614" max="4614" width="0" style="348" hidden="1" customWidth="1"/>
    <col min="4615" max="4615" width="19.5703125" style="348" customWidth="1"/>
    <col min="4616" max="4616" width="16.7109375" style="348" customWidth="1"/>
    <col min="4617" max="4618" width="9.140625" style="348"/>
    <col min="4619" max="4619" width="110.28515625" style="348" customWidth="1"/>
    <col min="4620" max="4864" width="9.140625" style="348"/>
    <col min="4865" max="4865" width="14.85546875" style="348" bestFit="1" customWidth="1"/>
    <col min="4866" max="4866" width="21" style="348" customWidth="1"/>
    <col min="4867" max="4867" width="73.140625" style="348" bestFit="1" customWidth="1"/>
    <col min="4868" max="4868" width="79.7109375" style="348" bestFit="1" customWidth="1"/>
    <col min="4869" max="4869" width="26.140625" style="348" customWidth="1"/>
    <col min="4870" max="4870" width="0" style="348" hidden="1" customWidth="1"/>
    <col min="4871" max="4871" width="19.5703125" style="348" customWidth="1"/>
    <col min="4872" max="4872" width="16.7109375" style="348" customWidth="1"/>
    <col min="4873" max="4874" width="9.140625" style="348"/>
    <col min="4875" max="4875" width="110.28515625" style="348" customWidth="1"/>
    <col min="4876" max="5120" width="9.140625" style="348"/>
    <col min="5121" max="5121" width="14.85546875" style="348" bestFit="1" customWidth="1"/>
    <col min="5122" max="5122" width="21" style="348" customWidth="1"/>
    <col min="5123" max="5123" width="73.140625" style="348" bestFit="1" customWidth="1"/>
    <col min="5124" max="5124" width="79.7109375" style="348" bestFit="1" customWidth="1"/>
    <col min="5125" max="5125" width="26.140625" style="348" customWidth="1"/>
    <col min="5126" max="5126" width="0" style="348" hidden="1" customWidth="1"/>
    <col min="5127" max="5127" width="19.5703125" style="348" customWidth="1"/>
    <col min="5128" max="5128" width="16.7109375" style="348" customWidth="1"/>
    <col min="5129" max="5130" width="9.140625" style="348"/>
    <col min="5131" max="5131" width="110.28515625" style="348" customWidth="1"/>
    <col min="5132" max="5376" width="9.140625" style="348"/>
    <col min="5377" max="5377" width="14.85546875" style="348" bestFit="1" customWidth="1"/>
    <col min="5378" max="5378" width="21" style="348" customWidth="1"/>
    <col min="5379" max="5379" width="73.140625" style="348" bestFit="1" customWidth="1"/>
    <col min="5380" max="5380" width="79.7109375" style="348" bestFit="1" customWidth="1"/>
    <col min="5381" max="5381" width="26.140625" style="348" customWidth="1"/>
    <col min="5382" max="5382" width="0" style="348" hidden="1" customWidth="1"/>
    <col min="5383" max="5383" width="19.5703125" style="348" customWidth="1"/>
    <col min="5384" max="5384" width="16.7109375" style="348" customWidth="1"/>
    <col min="5385" max="5386" width="9.140625" style="348"/>
    <col min="5387" max="5387" width="110.28515625" style="348" customWidth="1"/>
    <col min="5388" max="5632" width="9.140625" style="348"/>
    <col min="5633" max="5633" width="14.85546875" style="348" bestFit="1" customWidth="1"/>
    <col min="5634" max="5634" width="21" style="348" customWidth="1"/>
    <col min="5635" max="5635" width="73.140625" style="348" bestFit="1" customWidth="1"/>
    <col min="5636" max="5636" width="79.7109375" style="348" bestFit="1" customWidth="1"/>
    <col min="5637" max="5637" width="26.140625" style="348" customWidth="1"/>
    <col min="5638" max="5638" width="0" style="348" hidden="1" customWidth="1"/>
    <col min="5639" max="5639" width="19.5703125" style="348" customWidth="1"/>
    <col min="5640" max="5640" width="16.7109375" style="348" customWidth="1"/>
    <col min="5641" max="5642" width="9.140625" style="348"/>
    <col min="5643" max="5643" width="110.28515625" style="348" customWidth="1"/>
    <col min="5644" max="5888" width="9.140625" style="348"/>
    <col min="5889" max="5889" width="14.85546875" style="348" bestFit="1" customWidth="1"/>
    <col min="5890" max="5890" width="21" style="348" customWidth="1"/>
    <col min="5891" max="5891" width="73.140625" style="348" bestFit="1" customWidth="1"/>
    <col min="5892" max="5892" width="79.7109375" style="348" bestFit="1" customWidth="1"/>
    <col min="5893" max="5893" width="26.140625" style="348" customWidth="1"/>
    <col min="5894" max="5894" width="0" style="348" hidden="1" customWidth="1"/>
    <col min="5895" max="5895" width="19.5703125" style="348" customWidth="1"/>
    <col min="5896" max="5896" width="16.7109375" style="348" customWidth="1"/>
    <col min="5897" max="5898" width="9.140625" style="348"/>
    <col min="5899" max="5899" width="110.28515625" style="348" customWidth="1"/>
    <col min="5900" max="6144" width="9.140625" style="348"/>
    <col min="6145" max="6145" width="14.85546875" style="348" bestFit="1" customWidth="1"/>
    <col min="6146" max="6146" width="21" style="348" customWidth="1"/>
    <col min="6147" max="6147" width="73.140625" style="348" bestFit="1" customWidth="1"/>
    <col min="6148" max="6148" width="79.7109375" style="348" bestFit="1" customWidth="1"/>
    <col min="6149" max="6149" width="26.140625" style="348" customWidth="1"/>
    <col min="6150" max="6150" width="0" style="348" hidden="1" customWidth="1"/>
    <col min="6151" max="6151" width="19.5703125" style="348" customWidth="1"/>
    <col min="6152" max="6152" width="16.7109375" style="348" customWidth="1"/>
    <col min="6153" max="6154" width="9.140625" style="348"/>
    <col min="6155" max="6155" width="110.28515625" style="348" customWidth="1"/>
    <col min="6156" max="6400" width="9.140625" style="348"/>
    <col min="6401" max="6401" width="14.85546875" style="348" bestFit="1" customWidth="1"/>
    <col min="6402" max="6402" width="21" style="348" customWidth="1"/>
    <col min="6403" max="6403" width="73.140625" style="348" bestFit="1" customWidth="1"/>
    <col min="6404" max="6404" width="79.7109375" style="348" bestFit="1" customWidth="1"/>
    <col min="6405" max="6405" width="26.140625" style="348" customWidth="1"/>
    <col min="6406" max="6406" width="0" style="348" hidden="1" customWidth="1"/>
    <col min="6407" max="6407" width="19.5703125" style="348" customWidth="1"/>
    <col min="6408" max="6408" width="16.7109375" style="348" customWidth="1"/>
    <col min="6409" max="6410" width="9.140625" style="348"/>
    <col min="6411" max="6411" width="110.28515625" style="348" customWidth="1"/>
    <col min="6412" max="6656" width="9.140625" style="348"/>
    <col min="6657" max="6657" width="14.85546875" style="348" bestFit="1" customWidth="1"/>
    <col min="6658" max="6658" width="21" style="348" customWidth="1"/>
    <col min="6659" max="6659" width="73.140625" style="348" bestFit="1" customWidth="1"/>
    <col min="6660" max="6660" width="79.7109375" style="348" bestFit="1" customWidth="1"/>
    <col min="6661" max="6661" width="26.140625" style="348" customWidth="1"/>
    <col min="6662" max="6662" width="0" style="348" hidden="1" customWidth="1"/>
    <col min="6663" max="6663" width="19.5703125" style="348" customWidth="1"/>
    <col min="6664" max="6664" width="16.7109375" style="348" customWidth="1"/>
    <col min="6665" max="6666" width="9.140625" style="348"/>
    <col min="6667" max="6667" width="110.28515625" style="348" customWidth="1"/>
    <col min="6668" max="6912" width="9.140625" style="348"/>
    <col min="6913" max="6913" width="14.85546875" style="348" bestFit="1" customWidth="1"/>
    <col min="6914" max="6914" width="21" style="348" customWidth="1"/>
    <col min="6915" max="6915" width="73.140625" style="348" bestFit="1" customWidth="1"/>
    <col min="6916" max="6916" width="79.7109375" style="348" bestFit="1" customWidth="1"/>
    <col min="6917" max="6917" width="26.140625" style="348" customWidth="1"/>
    <col min="6918" max="6918" width="0" style="348" hidden="1" customWidth="1"/>
    <col min="6919" max="6919" width="19.5703125" style="348" customWidth="1"/>
    <col min="6920" max="6920" width="16.7109375" style="348" customWidth="1"/>
    <col min="6921" max="6922" width="9.140625" style="348"/>
    <col min="6923" max="6923" width="110.28515625" style="348" customWidth="1"/>
    <col min="6924" max="7168" width="9.140625" style="348"/>
    <col min="7169" max="7169" width="14.85546875" style="348" bestFit="1" customWidth="1"/>
    <col min="7170" max="7170" width="21" style="348" customWidth="1"/>
    <col min="7171" max="7171" width="73.140625" style="348" bestFit="1" customWidth="1"/>
    <col min="7172" max="7172" width="79.7109375" style="348" bestFit="1" customWidth="1"/>
    <col min="7173" max="7173" width="26.140625" style="348" customWidth="1"/>
    <col min="7174" max="7174" width="0" style="348" hidden="1" customWidth="1"/>
    <col min="7175" max="7175" width="19.5703125" style="348" customWidth="1"/>
    <col min="7176" max="7176" width="16.7109375" style="348" customWidth="1"/>
    <col min="7177" max="7178" width="9.140625" style="348"/>
    <col min="7179" max="7179" width="110.28515625" style="348" customWidth="1"/>
    <col min="7180" max="7424" width="9.140625" style="348"/>
    <col min="7425" max="7425" width="14.85546875" style="348" bestFit="1" customWidth="1"/>
    <col min="7426" max="7426" width="21" style="348" customWidth="1"/>
    <col min="7427" max="7427" width="73.140625" style="348" bestFit="1" customWidth="1"/>
    <col min="7428" max="7428" width="79.7109375" style="348" bestFit="1" customWidth="1"/>
    <col min="7429" max="7429" width="26.140625" style="348" customWidth="1"/>
    <col min="7430" max="7430" width="0" style="348" hidden="1" customWidth="1"/>
    <col min="7431" max="7431" width="19.5703125" style="348" customWidth="1"/>
    <col min="7432" max="7432" width="16.7109375" style="348" customWidth="1"/>
    <col min="7433" max="7434" width="9.140625" style="348"/>
    <col min="7435" max="7435" width="110.28515625" style="348" customWidth="1"/>
    <col min="7436" max="7680" width="9.140625" style="348"/>
    <col min="7681" max="7681" width="14.85546875" style="348" bestFit="1" customWidth="1"/>
    <col min="7682" max="7682" width="21" style="348" customWidth="1"/>
    <col min="7683" max="7683" width="73.140625" style="348" bestFit="1" customWidth="1"/>
    <col min="7684" max="7684" width="79.7109375" style="348" bestFit="1" customWidth="1"/>
    <col min="7685" max="7685" width="26.140625" style="348" customWidth="1"/>
    <col min="7686" max="7686" width="0" style="348" hidden="1" customWidth="1"/>
    <col min="7687" max="7687" width="19.5703125" style="348" customWidth="1"/>
    <col min="7688" max="7688" width="16.7109375" style="348" customWidth="1"/>
    <col min="7689" max="7690" width="9.140625" style="348"/>
    <col min="7691" max="7691" width="110.28515625" style="348" customWidth="1"/>
    <col min="7692" max="7936" width="9.140625" style="348"/>
    <col min="7937" max="7937" width="14.85546875" style="348" bestFit="1" customWidth="1"/>
    <col min="7938" max="7938" width="21" style="348" customWidth="1"/>
    <col min="7939" max="7939" width="73.140625" style="348" bestFit="1" customWidth="1"/>
    <col min="7940" max="7940" width="79.7109375" style="348" bestFit="1" customWidth="1"/>
    <col min="7941" max="7941" width="26.140625" style="348" customWidth="1"/>
    <col min="7942" max="7942" width="0" style="348" hidden="1" customWidth="1"/>
    <col min="7943" max="7943" width="19.5703125" style="348" customWidth="1"/>
    <col min="7944" max="7944" width="16.7109375" style="348" customWidth="1"/>
    <col min="7945" max="7946" width="9.140625" style="348"/>
    <col min="7947" max="7947" width="110.28515625" style="348" customWidth="1"/>
    <col min="7948" max="8192" width="9.140625" style="348"/>
    <col min="8193" max="8193" width="14.85546875" style="348" bestFit="1" customWidth="1"/>
    <col min="8194" max="8194" width="21" style="348" customWidth="1"/>
    <col min="8195" max="8195" width="73.140625" style="348" bestFit="1" customWidth="1"/>
    <col min="8196" max="8196" width="79.7109375" style="348" bestFit="1" customWidth="1"/>
    <col min="8197" max="8197" width="26.140625" style="348" customWidth="1"/>
    <col min="8198" max="8198" width="0" style="348" hidden="1" customWidth="1"/>
    <col min="8199" max="8199" width="19.5703125" style="348" customWidth="1"/>
    <col min="8200" max="8200" width="16.7109375" style="348" customWidth="1"/>
    <col min="8201" max="8202" width="9.140625" style="348"/>
    <col min="8203" max="8203" width="110.28515625" style="348" customWidth="1"/>
    <col min="8204" max="8448" width="9.140625" style="348"/>
    <col min="8449" max="8449" width="14.85546875" style="348" bestFit="1" customWidth="1"/>
    <col min="8450" max="8450" width="21" style="348" customWidth="1"/>
    <col min="8451" max="8451" width="73.140625" style="348" bestFit="1" customWidth="1"/>
    <col min="8452" max="8452" width="79.7109375" style="348" bestFit="1" customWidth="1"/>
    <col min="8453" max="8453" width="26.140625" style="348" customWidth="1"/>
    <col min="8454" max="8454" width="0" style="348" hidden="1" customWidth="1"/>
    <col min="8455" max="8455" width="19.5703125" style="348" customWidth="1"/>
    <col min="8456" max="8456" width="16.7109375" style="348" customWidth="1"/>
    <col min="8457" max="8458" width="9.140625" style="348"/>
    <col min="8459" max="8459" width="110.28515625" style="348" customWidth="1"/>
    <col min="8460" max="8704" width="9.140625" style="348"/>
    <col min="8705" max="8705" width="14.85546875" style="348" bestFit="1" customWidth="1"/>
    <col min="8706" max="8706" width="21" style="348" customWidth="1"/>
    <col min="8707" max="8707" width="73.140625" style="348" bestFit="1" customWidth="1"/>
    <col min="8708" max="8708" width="79.7109375" style="348" bestFit="1" customWidth="1"/>
    <col min="8709" max="8709" width="26.140625" style="348" customWidth="1"/>
    <col min="8710" max="8710" width="0" style="348" hidden="1" customWidth="1"/>
    <col min="8711" max="8711" width="19.5703125" style="348" customWidth="1"/>
    <col min="8712" max="8712" width="16.7109375" style="348" customWidth="1"/>
    <col min="8713" max="8714" width="9.140625" style="348"/>
    <col min="8715" max="8715" width="110.28515625" style="348" customWidth="1"/>
    <col min="8716" max="8960" width="9.140625" style="348"/>
    <col min="8961" max="8961" width="14.85546875" style="348" bestFit="1" customWidth="1"/>
    <col min="8962" max="8962" width="21" style="348" customWidth="1"/>
    <col min="8963" max="8963" width="73.140625" style="348" bestFit="1" customWidth="1"/>
    <col min="8964" max="8964" width="79.7109375" style="348" bestFit="1" customWidth="1"/>
    <col min="8965" max="8965" width="26.140625" style="348" customWidth="1"/>
    <col min="8966" max="8966" width="0" style="348" hidden="1" customWidth="1"/>
    <col min="8967" max="8967" width="19.5703125" style="348" customWidth="1"/>
    <col min="8968" max="8968" width="16.7109375" style="348" customWidth="1"/>
    <col min="8969" max="8970" width="9.140625" style="348"/>
    <col min="8971" max="8971" width="110.28515625" style="348" customWidth="1"/>
    <col min="8972" max="9216" width="9.140625" style="348"/>
    <col min="9217" max="9217" width="14.85546875" style="348" bestFit="1" customWidth="1"/>
    <col min="9218" max="9218" width="21" style="348" customWidth="1"/>
    <col min="9219" max="9219" width="73.140625" style="348" bestFit="1" customWidth="1"/>
    <col min="9220" max="9220" width="79.7109375" style="348" bestFit="1" customWidth="1"/>
    <col min="9221" max="9221" width="26.140625" style="348" customWidth="1"/>
    <col min="9222" max="9222" width="0" style="348" hidden="1" customWidth="1"/>
    <col min="9223" max="9223" width="19.5703125" style="348" customWidth="1"/>
    <col min="9224" max="9224" width="16.7109375" style="348" customWidth="1"/>
    <col min="9225" max="9226" width="9.140625" style="348"/>
    <col min="9227" max="9227" width="110.28515625" style="348" customWidth="1"/>
    <col min="9228" max="9472" width="9.140625" style="348"/>
    <col min="9473" max="9473" width="14.85546875" style="348" bestFit="1" customWidth="1"/>
    <col min="9474" max="9474" width="21" style="348" customWidth="1"/>
    <col min="9475" max="9475" width="73.140625" style="348" bestFit="1" customWidth="1"/>
    <col min="9476" max="9476" width="79.7109375" style="348" bestFit="1" customWidth="1"/>
    <col min="9477" max="9477" width="26.140625" style="348" customWidth="1"/>
    <col min="9478" max="9478" width="0" style="348" hidden="1" customWidth="1"/>
    <col min="9479" max="9479" width="19.5703125" style="348" customWidth="1"/>
    <col min="9480" max="9480" width="16.7109375" style="348" customWidth="1"/>
    <col min="9481" max="9482" width="9.140625" style="348"/>
    <col min="9483" max="9483" width="110.28515625" style="348" customWidth="1"/>
    <col min="9484" max="9728" width="9.140625" style="348"/>
    <col min="9729" max="9729" width="14.85546875" style="348" bestFit="1" customWidth="1"/>
    <col min="9730" max="9730" width="21" style="348" customWidth="1"/>
    <col min="9731" max="9731" width="73.140625" style="348" bestFit="1" customWidth="1"/>
    <col min="9732" max="9732" width="79.7109375" style="348" bestFit="1" customWidth="1"/>
    <col min="9733" max="9733" width="26.140625" style="348" customWidth="1"/>
    <col min="9734" max="9734" width="0" style="348" hidden="1" customWidth="1"/>
    <col min="9735" max="9735" width="19.5703125" style="348" customWidth="1"/>
    <col min="9736" max="9736" width="16.7109375" style="348" customWidth="1"/>
    <col min="9737" max="9738" width="9.140625" style="348"/>
    <col min="9739" max="9739" width="110.28515625" style="348" customWidth="1"/>
    <col min="9740" max="9984" width="9.140625" style="348"/>
    <col min="9985" max="9985" width="14.85546875" style="348" bestFit="1" customWidth="1"/>
    <col min="9986" max="9986" width="21" style="348" customWidth="1"/>
    <col min="9987" max="9987" width="73.140625" style="348" bestFit="1" customWidth="1"/>
    <col min="9988" max="9988" width="79.7109375" style="348" bestFit="1" customWidth="1"/>
    <col min="9989" max="9989" width="26.140625" style="348" customWidth="1"/>
    <col min="9990" max="9990" width="0" style="348" hidden="1" customWidth="1"/>
    <col min="9991" max="9991" width="19.5703125" style="348" customWidth="1"/>
    <col min="9992" max="9992" width="16.7109375" style="348" customWidth="1"/>
    <col min="9993" max="9994" width="9.140625" style="348"/>
    <col min="9995" max="9995" width="110.28515625" style="348" customWidth="1"/>
    <col min="9996" max="10240" width="9.140625" style="348"/>
    <col min="10241" max="10241" width="14.85546875" style="348" bestFit="1" customWidth="1"/>
    <col min="10242" max="10242" width="21" style="348" customWidth="1"/>
    <col min="10243" max="10243" width="73.140625" style="348" bestFit="1" customWidth="1"/>
    <col min="10244" max="10244" width="79.7109375" style="348" bestFit="1" customWidth="1"/>
    <col min="10245" max="10245" width="26.140625" style="348" customWidth="1"/>
    <col min="10246" max="10246" width="0" style="348" hidden="1" customWidth="1"/>
    <col min="10247" max="10247" width="19.5703125" style="348" customWidth="1"/>
    <col min="10248" max="10248" width="16.7109375" style="348" customWidth="1"/>
    <col min="10249" max="10250" width="9.140625" style="348"/>
    <col min="10251" max="10251" width="110.28515625" style="348" customWidth="1"/>
    <col min="10252" max="10496" width="9.140625" style="348"/>
    <col min="10497" max="10497" width="14.85546875" style="348" bestFit="1" customWidth="1"/>
    <col min="10498" max="10498" width="21" style="348" customWidth="1"/>
    <col min="10499" max="10499" width="73.140625" style="348" bestFit="1" customWidth="1"/>
    <col min="10500" max="10500" width="79.7109375" style="348" bestFit="1" customWidth="1"/>
    <col min="10501" max="10501" width="26.140625" style="348" customWidth="1"/>
    <col min="10502" max="10502" width="0" style="348" hidden="1" customWidth="1"/>
    <col min="10503" max="10503" width="19.5703125" style="348" customWidth="1"/>
    <col min="10504" max="10504" width="16.7109375" style="348" customWidth="1"/>
    <col min="10505" max="10506" width="9.140625" style="348"/>
    <col min="10507" max="10507" width="110.28515625" style="348" customWidth="1"/>
    <col min="10508" max="10752" width="9.140625" style="348"/>
    <col min="10753" max="10753" width="14.85546875" style="348" bestFit="1" customWidth="1"/>
    <col min="10754" max="10754" width="21" style="348" customWidth="1"/>
    <col min="10755" max="10755" width="73.140625" style="348" bestFit="1" customWidth="1"/>
    <col min="10756" max="10756" width="79.7109375" style="348" bestFit="1" customWidth="1"/>
    <col min="10757" max="10757" width="26.140625" style="348" customWidth="1"/>
    <col min="10758" max="10758" width="0" style="348" hidden="1" customWidth="1"/>
    <col min="10759" max="10759" width="19.5703125" style="348" customWidth="1"/>
    <col min="10760" max="10760" width="16.7109375" style="348" customWidth="1"/>
    <col min="10761" max="10762" width="9.140625" style="348"/>
    <col min="10763" max="10763" width="110.28515625" style="348" customWidth="1"/>
    <col min="10764" max="11008" width="9.140625" style="348"/>
    <col min="11009" max="11009" width="14.85546875" style="348" bestFit="1" customWidth="1"/>
    <col min="11010" max="11010" width="21" style="348" customWidth="1"/>
    <col min="11011" max="11011" width="73.140625" style="348" bestFit="1" customWidth="1"/>
    <col min="11012" max="11012" width="79.7109375" style="348" bestFit="1" customWidth="1"/>
    <col min="11013" max="11013" width="26.140625" style="348" customWidth="1"/>
    <col min="11014" max="11014" width="0" style="348" hidden="1" customWidth="1"/>
    <col min="11015" max="11015" width="19.5703125" style="348" customWidth="1"/>
    <col min="11016" max="11016" width="16.7109375" style="348" customWidth="1"/>
    <col min="11017" max="11018" width="9.140625" style="348"/>
    <col min="11019" max="11019" width="110.28515625" style="348" customWidth="1"/>
    <col min="11020" max="11264" width="9.140625" style="348"/>
    <col min="11265" max="11265" width="14.85546875" style="348" bestFit="1" customWidth="1"/>
    <col min="11266" max="11266" width="21" style="348" customWidth="1"/>
    <col min="11267" max="11267" width="73.140625" style="348" bestFit="1" customWidth="1"/>
    <col min="11268" max="11268" width="79.7109375" style="348" bestFit="1" customWidth="1"/>
    <col min="11269" max="11269" width="26.140625" style="348" customWidth="1"/>
    <col min="11270" max="11270" width="0" style="348" hidden="1" customWidth="1"/>
    <col min="11271" max="11271" width="19.5703125" style="348" customWidth="1"/>
    <col min="11272" max="11272" width="16.7109375" style="348" customWidth="1"/>
    <col min="11273" max="11274" width="9.140625" style="348"/>
    <col min="11275" max="11275" width="110.28515625" style="348" customWidth="1"/>
    <col min="11276" max="11520" width="9.140625" style="348"/>
    <col min="11521" max="11521" width="14.85546875" style="348" bestFit="1" customWidth="1"/>
    <col min="11522" max="11522" width="21" style="348" customWidth="1"/>
    <col min="11523" max="11523" width="73.140625" style="348" bestFit="1" customWidth="1"/>
    <col min="11524" max="11524" width="79.7109375" style="348" bestFit="1" customWidth="1"/>
    <col min="11525" max="11525" width="26.140625" style="348" customWidth="1"/>
    <col min="11526" max="11526" width="0" style="348" hidden="1" customWidth="1"/>
    <col min="11527" max="11527" width="19.5703125" style="348" customWidth="1"/>
    <col min="11528" max="11528" width="16.7109375" style="348" customWidth="1"/>
    <col min="11529" max="11530" width="9.140625" style="348"/>
    <col min="11531" max="11531" width="110.28515625" style="348" customWidth="1"/>
    <col min="11532" max="11776" width="9.140625" style="348"/>
    <col min="11777" max="11777" width="14.85546875" style="348" bestFit="1" customWidth="1"/>
    <col min="11778" max="11778" width="21" style="348" customWidth="1"/>
    <col min="11779" max="11779" width="73.140625" style="348" bestFit="1" customWidth="1"/>
    <col min="11780" max="11780" width="79.7109375" style="348" bestFit="1" customWidth="1"/>
    <col min="11781" max="11781" width="26.140625" style="348" customWidth="1"/>
    <col min="11782" max="11782" width="0" style="348" hidden="1" customWidth="1"/>
    <col min="11783" max="11783" width="19.5703125" style="348" customWidth="1"/>
    <col min="11784" max="11784" width="16.7109375" style="348" customWidth="1"/>
    <col min="11785" max="11786" width="9.140625" style="348"/>
    <col min="11787" max="11787" width="110.28515625" style="348" customWidth="1"/>
    <col min="11788" max="12032" width="9.140625" style="348"/>
    <col min="12033" max="12033" width="14.85546875" style="348" bestFit="1" customWidth="1"/>
    <col min="12034" max="12034" width="21" style="348" customWidth="1"/>
    <col min="12035" max="12035" width="73.140625" style="348" bestFit="1" customWidth="1"/>
    <col min="12036" max="12036" width="79.7109375" style="348" bestFit="1" customWidth="1"/>
    <col min="12037" max="12037" width="26.140625" style="348" customWidth="1"/>
    <col min="12038" max="12038" width="0" style="348" hidden="1" customWidth="1"/>
    <col min="12039" max="12039" width="19.5703125" style="348" customWidth="1"/>
    <col min="12040" max="12040" width="16.7109375" style="348" customWidth="1"/>
    <col min="12041" max="12042" width="9.140625" style="348"/>
    <col min="12043" max="12043" width="110.28515625" style="348" customWidth="1"/>
    <col min="12044" max="12288" width="9.140625" style="348"/>
    <col min="12289" max="12289" width="14.85546875" style="348" bestFit="1" customWidth="1"/>
    <col min="12290" max="12290" width="21" style="348" customWidth="1"/>
    <col min="12291" max="12291" width="73.140625" style="348" bestFit="1" customWidth="1"/>
    <col min="12292" max="12292" width="79.7109375" style="348" bestFit="1" customWidth="1"/>
    <col min="12293" max="12293" width="26.140625" style="348" customWidth="1"/>
    <col min="12294" max="12294" width="0" style="348" hidden="1" customWidth="1"/>
    <col min="12295" max="12295" width="19.5703125" style="348" customWidth="1"/>
    <col min="12296" max="12296" width="16.7109375" style="348" customWidth="1"/>
    <col min="12297" max="12298" width="9.140625" style="348"/>
    <col min="12299" max="12299" width="110.28515625" style="348" customWidth="1"/>
    <col min="12300" max="12544" width="9.140625" style="348"/>
    <col min="12545" max="12545" width="14.85546875" style="348" bestFit="1" customWidth="1"/>
    <col min="12546" max="12546" width="21" style="348" customWidth="1"/>
    <col min="12547" max="12547" width="73.140625" style="348" bestFit="1" customWidth="1"/>
    <col min="12548" max="12548" width="79.7109375" style="348" bestFit="1" customWidth="1"/>
    <col min="12549" max="12549" width="26.140625" style="348" customWidth="1"/>
    <col min="12550" max="12550" width="0" style="348" hidden="1" customWidth="1"/>
    <col min="12551" max="12551" width="19.5703125" style="348" customWidth="1"/>
    <col min="12552" max="12552" width="16.7109375" style="348" customWidth="1"/>
    <col min="12553" max="12554" width="9.140625" style="348"/>
    <col min="12555" max="12555" width="110.28515625" style="348" customWidth="1"/>
    <col min="12556" max="12800" width="9.140625" style="348"/>
    <col min="12801" max="12801" width="14.85546875" style="348" bestFit="1" customWidth="1"/>
    <col min="12802" max="12802" width="21" style="348" customWidth="1"/>
    <col min="12803" max="12803" width="73.140625" style="348" bestFit="1" customWidth="1"/>
    <col min="12804" max="12804" width="79.7109375" style="348" bestFit="1" customWidth="1"/>
    <col min="12805" max="12805" width="26.140625" style="348" customWidth="1"/>
    <col min="12806" max="12806" width="0" style="348" hidden="1" customWidth="1"/>
    <col min="12807" max="12807" width="19.5703125" style="348" customWidth="1"/>
    <col min="12808" max="12808" width="16.7109375" style="348" customWidth="1"/>
    <col min="12809" max="12810" width="9.140625" style="348"/>
    <col min="12811" max="12811" width="110.28515625" style="348" customWidth="1"/>
    <col min="12812" max="13056" width="9.140625" style="348"/>
    <col min="13057" max="13057" width="14.85546875" style="348" bestFit="1" customWidth="1"/>
    <col min="13058" max="13058" width="21" style="348" customWidth="1"/>
    <col min="13059" max="13059" width="73.140625" style="348" bestFit="1" customWidth="1"/>
    <col min="13060" max="13060" width="79.7109375" style="348" bestFit="1" customWidth="1"/>
    <col min="13061" max="13061" width="26.140625" style="348" customWidth="1"/>
    <col min="13062" max="13062" width="0" style="348" hidden="1" customWidth="1"/>
    <col min="13063" max="13063" width="19.5703125" style="348" customWidth="1"/>
    <col min="13064" max="13064" width="16.7109375" style="348" customWidth="1"/>
    <col min="13065" max="13066" width="9.140625" style="348"/>
    <col min="13067" max="13067" width="110.28515625" style="348" customWidth="1"/>
    <col min="13068" max="13312" width="9.140625" style="348"/>
    <col min="13313" max="13313" width="14.85546875" style="348" bestFit="1" customWidth="1"/>
    <col min="13314" max="13314" width="21" style="348" customWidth="1"/>
    <col min="13315" max="13315" width="73.140625" style="348" bestFit="1" customWidth="1"/>
    <col min="13316" max="13316" width="79.7109375" style="348" bestFit="1" customWidth="1"/>
    <col min="13317" max="13317" width="26.140625" style="348" customWidth="1"/>
    <col min="13318" max="13318" width="0" style="348" hidden="1" customWidth="1"/>
    <col min="13319" max="13319" width="19.5703125" style="348" customWidth="1"/>
    <col min="13320" max="13320" width="16.7109375" style="348" customWidth="1"/>
    <col min="13321" max="13322" width="9.140625" style="348"/>
    <col min="13323" max="13323" width="110.28515625" style="348" customWidth="1"/>
    <col min="13324" max="13568" width="9.140625" style="348"/>
    <col min="13569" max="13569" width="14.85546875" style="348" bestFit="1" customWidth="1"/>
    <col min="13570" max="13570" width="21" style="348" customWidth="1"/>
    <col min="13571" max="13571" width="73.140625" style="348" bestFit="1" customWidth="1"/>
    <col min="13572" max="13572" width="79.7109375" style="348" bestFit="1" customWidth="1"/>
    <col min="13573" max="13573" width="26.140625" style="348" customWidth="1"/>
    <col min="13574" max="13574" width="0" style="348" hidden="1" customWidth="1"/>
    <col min="13575" max="13575" width="19.5703125" style="348" customWidth="1"/>
    <col min="13576" max="13576" width="16.7109375" style="348" customWidth="1"/>
    <col min="13577" max="13578" width="9.140625" style="348"/>
    <col min="13579" max="13579" width="110.28515625" style="348" customWidth="1"/>
    <col min="13580" max="13824" width="9.140625" style="348"/>
    <col min="13825" max="13825" width="14.85546875" style="348" bestFit="1" customWidth="1"/>
    <col min="13826" max="13826" width="21" style="348" customWidth="1"/>
    <col min="13827" max="13827" width="73.140625" style="348" bestFit="1" customWidth="1"/>
    <col min="13828" max="13828" width="79.7109375" style="348" bestFit="1" customWidth="1"/>
    <col min="13829" max="13829" width="26.140625" style="348" customWidth="1"/>
    <col min="13830" max="13830" width="0" style="348" hidden="1" customWidth="1"/>
    <col min="13831" max="13831" width="19.5703125" style="348" customWidth="1"/>
    <col min="13832" max="13832" width="16.7109375" style="348" customWidth="1"/>
    <col min="13833" max="13834" width="9.140625" style="348"/>
    <col min="13835" max="13835" width="110.28515625" style="348" customWidth="1"/>
    <col min="13836" max="14080" width="9.140625" style="348"/>
    <col min="14081" max="14081" width="14.85546875" style="348" bestFit="1" customWidth="1"/>
    <col min="14082" max="14082" width="21" style="348" customWidth="1"/>
    <col min="14083" max="14083" width="73.140625" style="348" bestFit="1" customWidth="1"/>
    <col min="14084" max="14084" width="79.7109375" style="348" bestFit="1" customWidth="1"/>
    <col min="14085" max="14085" width="26.140625" style="348" customWidth="1"/>
    <col min="14086" max="14086" width="0" style="348" hidden="1" customWidth="1"/>
    <col min="14087" max="14087" width="19.5703125" style="348" customWidth="1"/>
    <col min="14088" max="14088" width="16.7109375" style="348" customWidth="1"/>
    <col min="14089" max="14090" width="9.140625" style="348"/>
    <col min="14091" max="14091" width="110.28515625" style="348" customWidth="1"/>
    <col min="14092" max="14336" width="9.140625" style="348"/>
    <col min="14337" max="14337" width="14.85546875" style="348" bestFit="1" customWidth="1"/>
    <col min="14338" max="14338" width="21" style="348" customWidth="1"/>
    <col min="14339" max="14339" width="73.140625" style="348" bestFit="1" customWidth="1"/>
    <col min="14340" max="14340" width="79.7109375" style="348" bestFit="1" customWidth="1"/>
    <col min="14341" max="14341" width="26.140625" style="348" customWidth="1"/>
    <col min="14342" max="14342" width="0" style="348" hidden="1" customWidth="1"/>
    <col min="14343" max="14343" width="19.5703125" style="348" customWidth="1"/>
    <col min="14344" max="14344" width="16.7109375" style="348" customWidth="1"/>
    <col min="14345" max="14346" width="9.140625" style="348"/>
    <col min="14347" max="14347" width="110.28515625" style="348" customWidth="1"/>
    <col min="14348" max="14592" width="9.140625" style="348"/>
    <col min="14593" max="14593" width="14.85546875" style="348" bestFit="1" customWidth="1"/>
    <col min="14594" max="14594" width="21" style="348" customWidth="1"/>
    <col min="14595" max="14595" width="73.140625" style="348" bestFit="1" customWidth="1"/>
    <col min="14596" max="14596" width="79.7109375" style="348" bestFit="1" customWidth="1"/>
    <col min="14597" max="14597" width="26.140625" style="348" customWidth="1"/>
    <col min="14598" max="14598" width="0" style="348" hidden="1" customWidth="1"/>
    <col min="14599" max="14599" width="19.5703125" style="348" customWidth="1"/>
    <col min="14600" max="14600" width="16.7109375" style="348" customWidth="1"/>
    <col min="14601" max="14602" width="9.140625" style="348"/>
    <col min="14603" max="14603" width="110.28515625" style="348" customWidth="1"/>
    <col min="14604" max="14848" width="9.140625" style="348"/>
    <col min="14849" max="14849" width="14.85546875" style="348" bestFit="1" customWidth="1"/>
    <col min="14850" max="14850" width="21" style="348" customWidth="1"/>
    <col min="14851" max="14851" width="73.140625" style="348" bestFit="1" customWidth="1"/>
    <col min="14852" max="14852" width="79.7109375" style="348" bestFit="1" customWidth="1"/>
    <col min="14853" max="14853" width="26.140625" style="348" customWidth="1"/>
    <col min="14854" max="14854" width="0" style="348" hidden="1" customWidth="1"/>
    <col min="14855" max="14855" width="19.5703125" style="348" customWidth="1"/>
    <col min="14856" max="14856" width="16.7109375" style="348" customWidth="1"/>
    <col min="14857" max="14858" width="9.140625" style="348"/>
    <col min="14859" max="14859" width="110.28515625" style="348" customWidth="1"/>
    <col min="14860" max="15104" width="9.140625" style="348"/>
    <col min="15105" max="15105" width="14.85546875" style="348" bestFit="1" customWidth="1"/>
    <col min="15106" max="15106" width="21" style="348" customWidth="1"/>
    <col min="15107" max="15107" width="73.140625" style="348" bestFit="1" customWidth="1"/>
    <col min="15108" max="15108" width="79.7109375" style="348" bestFit="1" customWidth="1"/>
    <col min="15109" max="15109" width="26.140625" style="348" customWidth="1"/>
    <col min="15110" max="15110" width="0" style="348" hidden="1" customWidth="1"/>
    <col min="15111" max="15111" width="19.5703125" style="348" customWidth="1"/>
    <col min="15112" max="15112" width="16.7109375" style="348" customWidth="1"/>
    <col min="15113" max="15114" width="9.140625" style="348"/>
    <col min="15115" max="15115" width="110.28515625" style="348" customWidth="1"/>
    <col min="15116" max="15360" width="9.140625" style="348"/>
    <col min="15361" max="15361" width="14.85546875" style="348" bestFit="1" customWidth="1"/>
    <col min="15362" max="15362" width="21" style="348" customWidth="1"/>
    <col min="15363" max="15363" width="73.140625" style="348" bestFit="1" customWidth="1"/>
    <col min="15364" max="15364" width="79.7109375" style="348" bestFit="1" customWidth="1"/>
    <col min="15365" max="15365" width="26.140625" style="348" customWidth="1"/>
    <col min="15366" max="15366" width="0" style="348" hidden="1" customWidth="1"/>
    <col min="15367" max="15367" width="19.5703125" style="348" customWidth="1"/>
    <col min="15368" max="15368" width="16.7109375" style="348" customWidth="1"/>
    <col min="15369" max="15370" width="9.140625" style="348"/>
    <col min="15371" max="15371" width="110.28515625" style="348" customWidth="1"/>
    <col min="15372" max="15616" width="9.140625" style="348"/>
    <col min="15617" max="15617" width="14.85546875" style="348" bestFit="1" customWidth="1"/>
    <col min="15618" max="15618" width="21" style="348" customWidth="1"/>
    <col min="15619" max="15619" width="73.140625" style="348" bestFit="1" customWidth="1"/>
    <col min="15620" max="15620" width="79.7109375" style="348" bestFit="1" customWidth="1"/>
    <col min="15621" max="15621" width="26.140625" style="348" customWidth="1"/>
    <col min="15622" max="15622" width="0" style="348" hidden="1" customWidth="1"/>
    <col min="15623" max="15623" width="19.5703125" style="348" customWidth="1"/>
    <col min="15624" max="15624" width="16.7109375" style="348" customWidth="1"/>
    <col min="15625" max="15626" width="9.140625" style="348"/>
    <col min="15627" max="15627" width="110.28515625" style="348" customWidth="1"/>
    <col min="15628" max="15872" width="9.140625" style="348"/>
    <col min="15873" max="15873" width="14.85546875" style="348" bestFit="1" customWidth="1"/>
    <col min="15874" max="15874" width="21" style="348" customWidth="1"/>
    <col min="15875" max="15875" width="73.140625" style="348" bestFit="1" customWidth="1"/>
    <col min="15876" max="15876" width="79.7109375" style="348" bestFit="1" customWidth="1"/>
    <col min="15877" max="15877" width="26.140625" style="348" customWidth="1"/>
    <col min="15878" max="15878" width="0" style="348" hidden="1" customWidth="1"/>
    <col min="15879" max="15879" width="19.5703125" style="348" customWidth="1"/>
    <col min="15880" max="15880" width="16.7109375" style="348" customWidth="1"/>
    <col min="15881" max="15882" width="9.140625" style="348"/>
    <col min="15883" max="15883" width="110.28515625" style="348" customWidth="1"/>
    <col min="15884" max="16128" width="9.140625" style="348"/>
    <col min="16129" max="16129" width="14.85546875" style="348" bestFit="1" customWidth="1"/>
    <col min="16130" max="16130" width="21" style="348" customWidth="1"/>
    <col min="16131" max="16131" width="73.140625" style="348" bestFit="1" customWidth="1"/>
    <col min="16132" max="16132" width="79.7109375" style="348" bestFit="1" customWidth="1"/>
    <col min="16133" max="16133" width="26.140625" style="348" customWidth="1"/>
    <col min="16134" max="16134" width="0" style="348" hidden="1" customWidth="1"/>
    <col min="16135" max="16135" width="19.5703125" style="348" customWidth="1"/>
    <col min="16136" max="16136" width="16.7109375" style="348" customWidth="1"/>
    <col min="16137" max="16138" width="9.140625" style="348"/>
    <col min="16139" max="16139" width="110.28515625" style="348" customWidth="1"/>
    <col min="16140" max="16384" width="9.140625" style="348"/>
  </cols>
  <sheetData>
    <row r="1" spans="1:11" s="343" customFormat="1" ht="18.75" x14ac:dyDescent="0.3">
      <c r="A1" s="342" t="s">
        <v>326</v>
      </c>
      <c r="C1" s="344"/>
      <c r="D1" s="345" t="s">
        <v>312</v>
      </c>
      <c r="E1" s="441">
        <v>39937</v>
      </c>
      <c r="F1" s="346"/>
      <c r="G1" s="346"/>
      <c r="H1" s="347"/>
    </row>
    <row r="2" spans="1:11" ht="15" x14ac:dyDescent="0.25">
      <c r="A2" s="352" t="s">
        <v>46</v>
      </c>
      <c r="K2" s="348"/>
    </row>
    <row r="3" spans="1:11" ht="13.5" thickBot="1" x14ac:dyDescent="0.25">
      <c r="A3" s="350"/>
      <c r="B3" s="350"/>
      <c r="C3" s="349"/>
      <c r="K3" s="348"/>
    </row>
    <row r="4" spans="1:11" ht="21.75" thickBot="1" x14ac:dyDescent="0.25">
      <c r="A4" s="351"/>
      <c r="B4" s="351"/>
      <c r="C4" s="705" t="s">
        <v>313</v>
      </c>
      <c r="D4" s="706"/>
      <c r="K4" s="348"/>
    </row>
    <row r="5" spans="1:11" ht="16.5" thickBot="1" x14ac:dyDescent="0.3">
      <c r="A5" s="385" t="s">
        <v>314</v>
      </c>
      <c r="B5" s="386" t="s">
        <v>315</v>
      </c>
      <c r="C5" s="386" t="s">
        <v>316</v>
      </c>
      <c r="D5" s="385" t="s">
        <v>317</v>
      </c>
      <c r="G5" s="353"/>
      <c r="H5" s="354"/>
      <c r="I5" s="355"/>
      <c r="J5" s="355"/>
      <c r="K5" s="356"/>
    </row>
    <row r="6" spans="1:11" ht="15" x14ac:dyDescent="0.25">
      <c r="A6" s="388" t="s">
        <v>318</v>
      </c>
      <c r="B6" s="388" t="s">
        <v>243</v>
      </c>
      <c r="C6" s="711" t="s">
        <v>268</v>
      </c>
      <c r="D6" s="391" t="s">
        <v>327</v>
      </c>
      <c r="E6" s="357"/>
      <c r="H6" s="354"/>
      <c r="I6" s="355"/>
      <c r="J6" s="355"/>
      <c r="K6" s="358"/>
    </row>
    <row r="7" spans="1:11" ht="15" x14ac:dyDescent="0.25">
      <c r="A7" s="389"/>
      <c r="B7" s="389"/>
      <c r="C7" s="712"/>
      <c r="D7" s="392" t="s">
        <v>328</v>
      </c>
      <c r="E7" s="357"/>
      <c r="H7" s="354"/>
      <c r="I7" s="355"/>
      <c r="J7" s="355"/>
      <c r="K7" s="358"/>
    </row>
    <row r="8" spans="1:11" ht="15" x14ac:dyDescent="0.25">
      <c r="A8" s="389"/>
      <c r="B8" s="389"/>
      <c r="C8" s="712"/>
      <c r="D8" s="392" t="s">
        <v>329</v>
      </c>
      <c r="E8" s="357"/>
      <c r="H8" s="354"/>
      <c r="I8" s="355"/>
      <c r="J8" s="355"/>
      <c r="K8" s="358"/>
    </row>
    <row r="9" spans="1:11" ht="15" x14ac:dyDescent="0.25">
      <c r="A9" s="389"/>
      <c r="B9" s="389"/>
      <c r="C9" s="712"/>
      <c r="D9" s="392" t="s">
        <v>330</v>
      </c>
      <c r="E9" s="357"/>
      <c r="H9" s="354"/>
      <c r="I9" s="355"/>
      <c r="J9" s="355"/>
      <c r="K9" s="358"/>
    </row>
    <row r="10" spans="1:11" ht="15" x14ac:dyDescent="0.25">
      <c r="A10" s="389"/>
      <c r="B10" s="389"/>
      <c r="C10" s="712"/>
      <c r="D10" s="392" t="s">
        <v>331</v>
      </c>
      <c r="E10" s="357"/>
      <c r="H10" s="354"/>
      <c r="I10" s="355"/>
      <c r="J10" s="355"/>
      <c r="K10" s="359"/>
    </row>
    <row r="11" spans="1:11" ht="15" x14ac:dyDescent="0.25">
      <c r="A11" s="389"/>
      <c r="B11" s="389"/>
      <c r="C11" s="712"/>
      <c r="D11" s="392" t="s">
        <v>332</v>
      </c>
      <c r="E11" s="357"/>
      <c r="H11" s="354"/>
      <c r="I11" s="355"/>
      <c r="J11" s="355"/>
      <c r="K11" s="358"/>
    </row>
    <row r="12" spans="1:11" ht="15" x14ac:dyDescent="0.25">
      <c r="A12" s="389"/>
      <c r="B12" s="389"/>
      <c r="C12" s="712"/>
      <c r="D12" s="392" t="s">
        <v>333</v>
      </c>
      <c r="E12" s="357"/>
      <c r="H12" s="354"/>
      <c r="I12" s="355"/>
      <c r="J12" s="355"/>
      <c r="K12" s="358"/>
    </row>
    <row r="13" spans="1:11" ht="15" x14ac:dyDescent="0.25">
      <c r="A13" s="389"/>
      <c r="B13" s="389"/>
      <c r="C13" s="712"/>
      <c r="D13" s="392" t="s">
        <v>334</v>
      </c>
      <c r="E13" s="357"/>
      <c r="H13" s="354"/>
      <c r="I13" s="355"/>
      <c r="J13" s="355"/>
      <c r="K13" s="358"/>
    </row>
    <row r="14" spans="1:11" ht="15" x14ac:dyDescent="0.25">
      <c r="A14" s="389"/>
      <c r="B14" s="389"/>
      <c r="C14" s="712"/>
      <c r="D14" s="392" t="s">
        <v>335</v>
      </c>
      <c r="E14" s="357"/>
      <c r="H14" s="354"/>
      <c r="I14" s="355"/>
      <c r="J14" s="355"/>
      <c r="K14" s="360"/>
    </row>
    <row r="15" spans="1:11" ht="15" x14ac:dyDescent="0.25">
      <c r="A15" s="389"/>
      <c r="B15" s="389"/>
      <c r="C15" s="712"/>
      <c r="D15" s="392" t="s">
        <v>336</v>
      </c>
      <c r="E15" s="357"/>
      <c r="H15" s="354"/>
      <c r="I15" s="355"/>
      <c r="J15" s="355"/>
      <c r="K15" s="358"/>
    </row>
    <row r="16" spans="1:11" ht="15" x14ac:dyDescent="0.25">
      <c r="A16" s="389"/>
      <c r="B16" s="389"/>
      <c r="C16" s="712"/>
      <c r="D16" s="392" t="s">
        <v>337</v>
      </c>
      <c r="E16" s="357"/>
      <c r="H16" s="354"/>
      <c r="I16" s="355"/>
      <c r="J16" s="355"/>
      <c r="K16" s="358"/>
    </row>
    <row r="17" spans="1:11" ht="15" x14ac:dyDescent="0.25">
      <c r="A17" s="389"/>
      <c r="B17" s="389"/>
      <c r="C17" s="712"/>
      <c r="D17" s="393" t="s">
        <v>338</v>
      </c>
      <c r="E17" s="357"/>
      <c r="H17" s="354"/>
      <c r="I17" s="355"/>
      <c r="J17" s="355"/>
      <c r="K17" s="358"/>
    </row>
    <row r="18" spans="1:11" ht="15" x14ac:dyDescent="0.25">
      <c r="A18" s="389"/>
      <c r="B18" s="389"/>
      <c r="C18" s="712"/>
      <c r="D18" s="393" t="s">
        <v>339</v>
      </c>
      <c r="E18" s="357"/>
      <c r="H18" s="354"/>
      <c r="I18" s="355"/>
      <c r="J18" s="355"/>
      <c r="K18" s="359"/>
    </row>
    <row r="19" spans="1:11" ht="15" x14ac:dyDescent="0.25">
      <c r="A19" s="389"/>
      <c r="B19" s="389"/>
      <c r="C19" s="712"/>
      <c r="D19" s="393" t="s">
        <v>340</v>
      </c>
      <c r="E19" s="357"/>
      <c r="H19" s="354"/>
      <c r="I19" s="355"/>
      <c r="J19" s="355"/>
      <c r="K19" s="358"/>
    </row>
    <row r="20" spans="1:11" ht="15" x14ac:dyDescent="0.25">
      <c r="A20" s="389"/>
      <c r="B20" s="389"/>
      <c r="C20" s="712"/>
      <c r="D20" s="393" t="s">
        <v>341</v>
      </c>
      <c r="E20" s="357"/>
      <c r="H20" s="354"/>
      <c r="I20" s="355"/>
      <c r="J20" s="355"/>
      <c r="K20" s="358"/>
    </row>
    <row r="21" spans="1:11" ht="15" x14ac:dyDescent="0.25">
      <c r="A21" s="389"/>
      <c r="B21" s="389"/>
      <c r="C21" s="712"/>
      <c r="D21" s="393" t="s">
        <v>342</v>
      </c>
      <c r="E21" s="357"/>
      <c r="H21" s="354"/>
      <c r="I21" s="355"/>
      <c r="J21" s="355"/>
      <c r="K21" s="358"/>
    </row>
    <row r="22" spans="1:11" ht="15" x14ac:dyDescent="0.25">
      <c r="A22" s="389"/>
      <c r="B22" s="389"/>
      <c r="C22" s="712"/>
      <c r="D22" s="393" t="s">
        <v>343</v>
      </c>
      <c r="E22" s="357"/>
      <c r="H22" s="354"/>
      <c r="I22" s="355"/>
      <c r="J22" s="355"/>
      <c r="K22" s="358"/>
    </row>
    <row r="23" spans="1:11" ht="15" x14ac:dyDescent="0.25">
      <c r="A23" s="389"/>
      <c r="B23" s="389"/>
      <c r="C23" s="712"/>
      <c r="D23" s="393" t="s">
        <v>344</v>
      </c>
      <c r="E23" s="357"/>
      <c r="H23" s="354"/>
      <c r="I23" s="355"/>
      <c r="J23" s="355"/>
      <c r="K23" s="358"/>
    </row>
    <row r="24" spans="1:11" ht="15" x14ac:dyDescent="0.25">
      <c r="A24" s="389"/>
      <c r="B24" s="389"/>
      <c r="C24" s="712"/>
      <c r="D24" s="393" t="s">
        <v>345</v>
      </c>
      <c r="E24" s="357"/>
      <c r="H24" s="354"/>
      <c r="I24" s="355"/>
      <c r="J24" s="355"/>
      <c r="K24" s="359"/>
    </row>
    <row r="25" spans="1:11" ht="15" x14ac:dyDescent="0.25">
      <c r="A25" s="389"/>
      <c r="B25" s="389"/>
      <c r="C25" s="712"/>
      <c r="D25" s="393" t="s">
        <v>346</v>
      </c>
      <c r="E25" s="357"/>
      <c r="H25" s="354"/>
      <c r="I25" s="355"/>
      <c r="J25" s="355"/>
      <c r="K25" s="358"/>
    </row>
    <row r="26" spans="1:11" ht="15" x14ac:dyDescent="0.25">
      <c r="A26" s="389"/>
      <c r="B26" s="389"/>
      <c r="C26" s="712"/>
      <c r="D26" s="393" t="s">
        <v>347</v>
      </c>
      <c r="E26" s="357"/>
      <c r="H26" s="354"/>
      <c r="I26" s="355"/>
      <c r="J26" s="355"/>
      <c r="K26" s="358"/>
    </row>
    <row r="27" spans="1:11" ht="15.75" thickBot="1" x14ac:dyDescent="0.3">
      <c r="A27" s="389"/>
      <c r="B27" s="389"/>
      <c r="C27" s="713"/>
      <c r="D27" s="394" t="s">
        <v>348</v>
      </c>
      <c r="E27" s="357"/>
      <c r="H27" s="354"/>
      <c r="I27" s="355"/>
      <c r="J27" s="355"/>
      <c r="K27" s="358"/>
    </row>
    <row r="28" spans="1:11" ht="15" x14ac:dyDescent="0.25">
      <c r="A28" s="389"/>
      <c r="B28" s="389"/>
      <c r="C28" s="711" t="s">
        <v>232</v>
      </c>
      <c r="D28" s="401" t="s">
        <v>349</v>
      </c>
      <c r="E28" s="361"/>
      <c r="G28" s="362"/>
    </row>
    <row r="29" spans="1:11" ht="15" x14ac:dyDescent="0.25">
      <c r="A29" s="389"/>
      <c r="B29" s="389"/>
      <c r="C29" s="712"/>
      <c r="D29" s="395" t="s">
        <v>350</v>
      </c>
      <c r="E29" s="361"/>
      <c r="G29" s="362"/>
    </row>
    <row r="30" spans="1:11" ht="15.75" thickBot="1" x14ac:dyDescent="0.3">
      <c r="A30" s="389"/>
      <c r="B30" s="389"/>
      <c r="C30" s="713"/>
      <c r="D30" s="402" t="s">
        <v>351</v>
      </c>
      <c r="E30" s="361"/>
      <c r="G30" s="364"/>
      <c r="H30" s="364"/>
      <c r="I30" s="364"/>
    </row>
    <row r="31" spans="1:11" ht="15" x14ac:dyDescent="0.25">
      <c r="A31" s="389"/>
      <c r="B31" s="389"/>
      <c r="C31" s="711" t="s">
        <v>233</v>
      </c>
      <c r="D31" s="403" t="s">
        <v>352</v>
      </c>
      <c r="E31" s="365"/>
      <c r="G31" s="364"/>
      <c r="H31" s="364"/>
      <c r="I31" s="364"/>
    </row>
    <row r="32" spans="1:11" ht="15" x14ac:dyDescent="0.25">
      <c r="A32" s="389"/>
      <c r="B32" s="389"/>
      <c r="C32" s="712"/>
      <c r="D32" s="396" t="s">
        <v>353</v>
      </c>
      <c r="E32" s="365"/>
      <c r="G32" s="364"/>
      <c r="H32" s="364"/>
      <c r="I32" s="364"/>
    </row>
    <row r="33" spans="1:11" ht="15" x14ac:dyDescent="0.25">
      <c r="A33" s="389"/>
      <c r="B33" s="389"/>
      <c r="C33" s="712"/>
      <c r="D33" s="396" t="s">
        <v>354</v>
      </c>
      <c r="E33" s="365"/>
      <c r="G33" s="364"/>
      <c r="H33" s="364"/>
      <c r="I33" s="364"/>
    </row>
    <row r="34" spans="1:11" ht="15" x14ac:dyDescent="0.25">
      <c r="A34" s="389"/>
      <c r="B34" s="389"/>
      <c r="C34" s="712"/>
      <c r="D34" s="396" t="s">
        <v>355</v>
      </c>
      <c r="E34" s="365"/>
      <c r="G34" s="364"/>
      <c r="H34" s="364"/>
      <c r="I34" s="364"/>
    </row>
    <row r="35" spans="1:11" ht="15" x14ac:dyDescent="0.25">
      <c r="A35" s="389"/>
      <c r="B35" s="389"/>
      <c r="C35" s="712"/>
      <c r="D35" s="396" t="s">
        <v>356</v>
      </c>
      <c r="E35" s="365"/>
      <c r="G35" s="364"/>
      <c r="H35" s="364"/>
      <c r="I35" s="364"/>
    </row>
    <row r="36" spans="1:11" ht="15" x14ac:dyDescent="0.25">
      <c r="A36" s="389"/>
      <c r="B36" s="389"/>
      <c r="C36" s="712"/>
      <c r="D36" s="396" t="s">
        <v>357</v>
      </c>
      <c r="E36" s="365"/>
      <c r="G36" s="364"/>
      <c r="H36" s="364"/>
      <c r="I36" s="364"/>
    </row>
    <row r="37" spans="1:11" ht="15" x14ac:dyDescent="0.25">
      <c r="A37" s="389"/>
      <c r="B37" s="389"/>
      <c r="C37" s="712"/>
      <c r="D37" s="396" t="s">
        <v>358</v>
      </c>
      <c r="E37" s="365"/>
      <c r="G37" s="364"/>
      <c r="H37" s="364"/>
      <c r="I37" s="364"/>
    </row>
    <row r="38" spans="1:11" ht="15" x14ac:dyDescent="0.25">
      <c r="A38" s="389"/>
      <c r="B38" s="389"/>
      <c r="C38" s="712"/>
      <c r="D38" s="396" t="s">
        <v>359</v>
      </c>
      <c r="E38" s="365"/>
    </row>
    <row r="39" spans="1:11" ht="15.75" thickBot="1" x14ac:dyDescent="0.3">
      <c r="A39" s="389"/>
      <c r="B39" s="389"/>
      <c r="C39" s="713"/>
      <c r="D39" s="404" t="s">
        <v>360</v>
      </c>
      <c r="E39" s="366"/>
    </row>
    <row r="40" spans="1:11" ht="15" x14ac:dyDescent="0.25">
      <c r="A40" s="389"/>
      <c r="B40" s="389"/>
      <c r="C40" s="714" t="s">
        <v>234</v>
      </c>
      <c r="D40" s="403" t="s">
        <v>361</v>
      </c>
    </row>
    <row r="41" spans="1:11" ht="15.75" thickBot="1" x14ac:dyDescent="0.3">
      <c r="A41" s="389"/>
      <c r="B41" s="389"/>
      <c r="C41" s="715"/>
      <c r="D41" s="405" t="s">
        <v>362</v>
      </c>
    </row>
    <row r="42" spans="1:11" ht="15" x14ac:dyDescent="0.25">
      <c r="A42" s="389"/>
      <c r="B42" s="389"/>
      <c r="C42" s="714" t="s">
        <v>235</v>
      </c>
      <c r="D42" s="403" t="s">
        <v>363</v>
      </c>
      <c r="E42" s="366"/>
    </row>
    <row r="43" spans="1:11" ht="15" x14ac:dyDescent="0.25">
      <c r="A43" s="389"/>
      <c r="B43" s="389"/>
      <c r="C43" s="716"/>
      <c r="D43" s="397" t="s">
        <v>364</v>
      </c>
      <c r="E43" s="366"/>
    </row>
    <row r="44" spans="1:11" ht="15" x14ac:dyDescent="0.25">
      <c r="A44" s="389"/>
      <c r="B44" s="389"/>
      <c r="C44" s="716"/>
      <c r="D44" s="397" t="s">
        <v>365</v>
      </c>
      <c r="E44" s="366"/>
    </row>
    <row r="45" spans="1:11" s="349" customFormat="1" ht="15.75" thickBot="1" x14ac:dyDescent="0.3">
      <c r="A45" s="389"/>
      <c r="B45" s="389"/>
      <c r="C45" s="715"/>
      <c r="D45" s="405" t="s">
        <v>366</v>
      </c>
      <c r="E45" s="366"/>
      <c r="I45" s="348"/>
      <c r="J45" s="348"/>
      <c r="K45" s="363"/>
    </row>
    <row r="46" spans="1:11" s="349" customFormat="1" ht="15" x14ac:dyDescent="0.25">
      <c r="A46" s="389"/>
      <c r="B46" s="389"/>
      <c r="C46" s="714" t="s">
        <v>236</v>
      </c>
      <c r="D46" s="403" t="s">
        <v>367</v>
      </c>
      <c r="E46" s="366"/>
      <c r="G46" s="366"/>
      <c r="I46" s="348"/>
      <c r="J46" s="348"/>
      <c r="K46" s="363"/>
    </row>
    <row r="47" spans="1:11" s="349" customFormat="1" ht="15" x14ac:dyDescent="0.25">
      <c r="A47" s="389"/>
      <c r="B47" s="389"/>
      <c r="C47" s="716"/>
      <c r="D47" s="397" t="s">
        <v>368</v>
      </c>
      <c r="E47" s="366"/>
      <c r="G47" s="366"/>
      <c r="I47" s="348"/>
      <c r="J47" s="348"/>
      <c r="K47" s="363"/>
    </row>
    <row r="48" spans="1:11" s="349" customFormat="1" ht="15" x14ac:dyDescent="0.25">
      <c r="A48" s="389"/>
      <c r="B48" s="389"/>
      <c r="C48" s="716"/>
      <c r="D48" s="397" t="s">
        <v>369</v>
      </c>
      <c r="E48" s="366"/>
      <c r="G48" s="366"/>
      <c r="I48" s="348"/>
      <c r="J48" s="348"/>
      <c r="K48" s="363"/>
    </row>
    <row r="49" spans="1:11" s="349" customFormat="1" ht="15" x14ac:dyDescent="0.25">
      <c r="A49" s="389"/>
      <c r="B49" s="389"/>
      <c r="C49" s="716"/>
      <c r="D49" s="397" t="s">
        <v>370</v>
      </c>
      <c r="E49" s="366"/>
      <c r="G49" s="366"/>
      <c r="I49" s="348"/>
      <c r="J49" s="348"/>
      <c r="K49" s="363"/>
    </row>
    <row r="50" spans="1:11" s="349" customFormat="1" ht="15" x14ac:dyDescent="0.25">
      <c r="A50" s="389"/>
      <c r="B50" s="389"/>
      <c r="C50" s="716"/>
      <c r="D50" s="397" t="s">
        <v>371</v>
      </c>
      <c r="E50" s="366"/>
      <c r="G50" s="366"/>
      <c r="I50" s="348"/>
      <c r="J50" s="348"/>
      <c r="K50" s="363"/>
    </row>
    <row r="51" spans="1:11" s="349" customFormat="1" ht="15" x14ac:dyDescent="0.25">
      <c r="A51" s="389"/>
      <c r="B51" s="389"/>
      <c r="C51" s="716"/>
      <c r="D51" s="397" t="s">
        <v>372</v>
      </c>
      <c r="E51" s="366"/>
      <c r="G51" s="366"/>
      <c r="I51" s="348"/>
      <c r="J51" s="348"/>
      <c r="K51" s="363"/>
    </row>
    <row r="52" spans="1:11" s="349" customFormat="1" ht="15" x14ac:dyDescent="0.25">
      <c r="A52" s="389"/>
      <c r="B52" s="389"/>
      <c r="C52" s="716"/>
      <c r="D52" s="397" t="s">
        <v>373</v>
      </c>
      <c r="E52" s="366"/>
      <c r="G52" s="366"/>
      <c r="I52" s="348"/>
      <c r="J52" s="348"/>
      <c r="K52" s="363"/>
    </row>
    <row r="53" spans="1:11" s="349" customFormat="1" ht="15" x14ac:dyDescent="0.25">
      <c r="A53" s="389"/>
      <c r="B53" s="389"/>
      <c r="C53" s="716"/>
      <c r="D53" s="397" t="s">
        <v>374</v>
      </c>
      <c r="E53" s="366"/>
      <c r="G53" s="366"/>
      <c r="I53" s="348"/>
      <c r="J53" s="348"/>
      <c r="K53" s="363"/>
    </row>
    <row r="54" spans="1:11" s="349" customFormat="1" ht="15.75" thickBot="1" x14ac:dyDescent="0.3">
      <c r="A54" s="389"/>
      <c r="B54" s="389"/>
      <c r="C54" s="715"/>
      <c r="D54" s="405" t="s">
        <v>375</v>
      </c>
      <c r="E54" s="366"/>
      <c r="G54" s="366"/>
      <c r="I54" s="348"/>
      <c r="J54" s="348"/>
      <c r="K54" s="363"/>
    </row>
    <row r="55" spans="1:11" s="349" customFormat="1" ht="15" x14ac:dyDescent="0.25">
      <c r="A55" s="389"/>
      <c r="B55" s="389"/>
      <c r="C55" s="714" t="s">
        <v>376</v>
      </c>
      <c r="D55" s="403" t="s">
        <v>377</v>
      </c>
      <c r="E55" s="366"/>
      <c r="I55" s="348"/>
      <c r="J55" s="348"/>
      <c r="K55" s="363"/>
    </row>
    <row r="56" spans="1:11" s="349" customFormat="1" ht="15" x14ac:dyDescent="0.25">
      <c r="A56" s="389"/>
      <c r="B56" s="389"/>
      <c r="C56" s="716"/>
      <c r="D56" s="396" t="s">
        <v>378</v>
      </c>
      <c r="E56" s="366"/>
      <c r="I56" s="348"/>
      <c r="J56" s="348"/>
      <c r="K56" s="363"/>
    </row>
    <row r="57" spans="1:11" s="349" customFormat="1" ht="15" x14ac:dyDescent="0.25">
      <c r="A57" s="389"/>
      <c r="B57" s="389"/>
      <c r="C57" s="716"/>
      <c r="D57" s="396" t="s">
        <v>379</v>
      </c>
      <c r="E57" s="366"/>
      <c r="I57" s="348"/>
      <c r="J57" s="348"/>
      <c r="K57" s="363"/>
    </row>
    <row r="58" spans="1:11" s="349" customFormat="1" ht="15" x14ac:dyDescent="0.25">
      <c r="A58" s="389"/>
      <c r="B58" s="389"/>
      <c r="C58" s="716"/>
      <c r="D58" s="396" t="s">
        <v>380</v>
      </c>
      <c r="E58" s="366"/>
      <c r="I58" s="348"/>
      <c r="J58" s="348"/>
      <c r="K58" s="363"/>
    </row>
    <row r="59" spans="1:11" s="349" customFormat="1" ht="15" x14ac:dyDescent="0.25">
      <c r="A59" s="389"/>
      <c r="B59" s="389"/>
      <c r="C59" s="716"/>
      <c r="D59" s="396" t="s">
        <v>381</v>
      </c>
      <c r="E59" s="366"/>
      <c r="I59" s="348"/>
      <c r="J59" s="348"/>
      <c r="K59" s="363"/>
    </row>
    <row r="60" spans="1:11" s="349" customFormat="1" ht="15" x14ac:dyDescent="0.25">
      <c r="A60" s="389"/>
      <c r="B60" s="389"/>
      <c r="C60" s="716"/>
      <c r="D60" s="397" t="s">
        <v>382</v>
      </c>
      <c r="E60" s="366"/>
      <c r="I60" s="348"/>
      <c r="J60" s="348"/>
      <c r="K60" s="363"/>
    </row>
    <row r="61" spans="1:11" s="349" customFormat="1" ht="15" x14ac:dyDescent="0.25">
      <c r="A61" s="389"/>
      <c r="B61" s="389"/>
      <c r="C61" s="716"/>
      <c r="D61" s="397" t="s">
        <v>383</v>
      </c>
      <c r="E61" s="366"/>
      <c r="I61" s="348"/>
      <c r="J61" s="348"/>
      <c r="K61" s="363"/>
    </row>
    <row r="62" spans="1:11" s="349" customFormat="1" ht="15" x14ac:dyDescent="0.25">
      <c r="A62" s="389"/>
      <c r="B62" s="389"/>
      <c r="C62" s="716"/>
      <c r="D62" s="397" t="s">
        <v>384</v>
      </c>
      <c r="E62" s="366"/>
      <c r="I62" s="348"/>
      <c r="J62" s="348"/>
      <c r="K62" s="363"/>
    </row>
    <row r="63" spans="1:11" s="349" customFormat="1" ht="15" x14ac:dyDescent="0.25">
      <c r="A63" s="389"/>
      <c r="B63" s="389"/>
      <c r="C63" s="716"/>
      <c r="D63" s="397" t="s">
        <v>385</v>
      </c>
      <c r="E63" s="366"/>
      <c r="I63" s="348"/>
      <c r="J63" s="348"/>
      <c r="K63" s="363"/>
    </row>
    <row r="64" spans="1:11" s="349" customFormat="1" ht="15.75" thickBot="1" x14ac:dyDescent="0.3">
      <c r="A64" s="389"/>
      <c r="B64" s="389"/>
      <c r="C64" s="715"/>
      <c r="D64" s="405" t="s">
        <v>386</v>
      </c>
      <c r="I64" s="348"/>
      <c r="J64" s="348"/>
      <c r="K64" s="363"/>
    </row>
    <row r="65" spans="1:11" s="349" customFormat="1" ht="15" x14ac:dyDescent="0.25">
      <c r="A65" s="389"/>
      <c r="B65" s="389"/>
      <c r="C65" s="714" t="s">
        <v>238</v>
      </c>
      <c r="D65" s="398" t="s">
        <v>387</v>
      </c>
      <c r="I65" s="348"/>
      <c r="J65" s="348"/>
      <c r="K65" s="363"/>
    </row>
    <row r="66" spans="1:11" s="349" customFormat="1" ht="15" x14ac:dyDescent="0.25">
      <c r="A66" s="389"/>
      <c r="B66" s="389"/>
      <c r="C66" s="716"/>
      <c r="D66" s="399" t="s">
        <v>388</v>
      </c>
      <c r="I66" s="348"/>
      <c r="J66" s="348"/>
      <c r="K66" s="363"/>
    </row>
    <row r="67" spans="1:11" s="349" customFormat="1" ht="15" x14ac:dyDescent="0.25">
      <c r="A67" s="389"/>
      <c r="B67" s="389"/>
      <c r="C67" s="716"/>
      <c r="D67" s="399" t="s">
        <v>389</v>
      </c>
      <c r="I67" s="348"/>
      <c r="J67" s="348"/>
      <c r="K67" s="363"/>
    </row>
    <row r="68" spans="1:11" s="349" customFormat="1" ht="15" x14ac:dyDescent="0.25">
      <c r="A68" s="389"/>
      <c r="B68" s="389"/>
      <c r="C68" s="716"/>
      <c r="D68" s="399" t="s">
        <v>390</v>
      </c>
      <c r="I68" s="348"/>
      <c r="J68" s="348"/>
      <c r="K68" s="363"/>
    </row>
    <row r="69" spans="1:11" s="349" customFormat="1" ht="15" x14ac:dyDescent="0.25">
      <c r="A69" s="389"/>
      <c r="B69" s="389"/>
      <c r="C69" s="716"/>
      <c r="D69" s="399" t="s">
        <v>391</v>
      </c>
      <c r="I69" s="348"/>
      <c r="J69" s="348"/>
      <c r="K69" s="363"/>
    </row>
    <row r="70" spans="1:11" s="349" customFormat="1" ht="15" x14ac:dyDescent="0.25">
      <c r="A70" s="389"/>
      <c r="B70" s="389"/>
      <c r="C70" s="716"/>
      <c r="D70" s="399" t="s">
        <v>392</v>
      </c>
      <c r="I70" s="348"/>
      <c r="J70" s="348"/>
      <c r="K70" s="363"/>
    </row>
    <row r="71" spans="1:11" s="349" customFormat="1" ht="15" x14ac:dyDescent="0.25">
      <c r="A71" s="389"/>
      <c r="B71" s="389"/>
      <c r="C71" s="716"/>
      <c r="D71" s="399" t="s">
        <v>393</v>
      </c>
      <c r="I71" s="348"/>
      <c r="J71" s="348"/>
      <c r="K71" s="363"/>
    </row>
    <row r="72" spans="1:11" s="349" customFormat="1" ht="15" x14ac:dyDescent="0.25">
      <c r="A72" s="389"/>
      <c r="B72" s="389"/>
      <c r="C72" s="716"/>
      <c r="D72" s="399" t="s">
        <v>394</v>
      </c>
      <c r="I72" s="348"/>
      <c r="J72" s="348"/>
      <c r="K72" s="363"/>
    </row>
    <row r="73" spans="1:11" s="349" customFormat="1" ht="15.75" thickBot="1" x14ac:dyDescent="0.3">
      <c r="A73" s="389"/>
      <c r="B73" s="389"/>
      <c r="C73" s="715"/>
      <c r="D73" s="400" t="s">
        <v>395</v>
      </c>
      <c r="I73" s="348"/>
      <c r="J73" s="348"/>
      <c r="K73" s="363"/>
    </row>
    <row r="74" spans="1:11" s="349" customFormat="1" ht="15" x14ac:dyDescent="0.25">
      <c r="A74" s="389"/>
      <c r="B74" s="389"/>
      <c r="C74" s="714" t="s">
        <v>396</v>
      </c>
      <c r="D74" s="403" t="s">
        <v>397</v>
      </c>
      <c r="E74" s="366"/>
      <c r="I74" s="348"/>
      <c r="J74" s="348"/>
      <c r="K74" s="363"/>
    </row>
    <row r="75" spans="1:11" s="349" customFormat="1" ht="15" x14ac:dyDescent="0.25">
      <c r="A75" s="389"/>
      <c r="B75" s="389"/>
      <c r="C75" s="716"/>
      <c r="D75" s="396" t="s">
        <v>398</v>
      </c>
      <c r="E75" s="366"/>
      <c r="I75" s="348"/>
      <c r="J75" s="348"/>
      <c r="K75" s="363"/>
    </row>
    <row r="76" spans="1:11" s="349" customFormat="1" ht="15" x14ac:dyDescent="0.25">
      <c r="A76" s="389"/>
      <c r="B76" s="389"/>
      <c r="C76" s="716"/>
      <c r="D76" s="396" t="s">
        <v>399</v>
      </c>
      <c r="E76" s="366"/>
      <c r="G76" s="366"/>
      <c r="I76" s="348"/>
      <c r="J76" s="348"/>
      <c r="K76" s="363"/>
    </row>
    <row r="77" spans="1:11" s="349" customFormat="1" ht="15" x14ac:dyDescent="0.25">
      <c r="A77" s="389"/>
      <c r="B77" s="389"/>
      <c r="C77" s="716"/>
      <c r="D77" s="396" t="s">
        <v>400</v>
      </c>
      <c r="E77" s="366"/>
      <c r="G77" s="366"/>
      <c r="I77" s="348"/>
      <c r="J77" s="348"/>
      <c r="K77" s="363"/>
    </row>
    <row r="78" spans="1:11" s="349" customFormat="1" ht="15" x14ac:dyDescent="0.25">
      <c r="A78" s="389"/>
      <c r="B78" s="389"/>
      <c r="C78" s="716"/>
      <c r="D78" s="396" t="s">
        <v>401</v>
      </c>
      <c r="E78" s="366"/>
      <c r="G78" s="366"/>
      <c r="I78" s="348"/>
      <c r="J78" s="348"/>
      <c r="K78" s="363"/>
    </row>
    <row r="79" spans="1:11" s="349" customFormat="1" ht="15" x14ac:dyDescent="0.25">
      <c r="A79" s="389"/>
      <c r="B79" s="389"/>
      <c r="C79" s="716"/>
      <c r="D79" s="396" t="s">
        <v>402</v>
      </c>
      <c r="E79" s="366"/>
      <c r="G79" s="366"/>
      <c r="I79" s="348"/>
      <c r="J79" s="348"/>
      <c r="K79" s="363"/>
    </row>
    <row r="80" spans="1:11" s="349" customFormat="1" ht="15" x14ac:dyDescent="0.25">
      <c r="A80" s="389"/>
      <c r="B80" s="389"/>
      <c r="C80" s="716"/>
      <c r="D80" s="396" t="s">
        <v>403</v>
      </c>
      <c r="E80" s="366"/>
      <c r="G80" s="366"/>
      <c r="I80" s="348"/>
      <c r="J80" s="348"/>
      <c r="K80" s="363"/>
    </row>
    <row r="81" spans="1:11" s="349" customFormat="1" ht="15" x14ac:dyDescent="0.25">
      <c r="A81" s="389"/>
      <c r="B81" s="389"/>
      <c r="C81" s="716"/>
      <c r="D81" s="396" t="s">
        <v>404</v>
      </c>
      <c r="E81" s="366"/>
      <c r="G81" s="366"/>
      <c r="I81" s="348"/>
      <c r="J81" s="348"/>
      <c r="K81" s="363"/>
    </row>
    <row r="82" spans="1:11" s="349" customFormat="1" ht="15" x14ac:dyDescent="0.25">
      <c r="A82" s="389"/>
      <c r="B82" s="389"/>
      <c r="C82" s="716"/>
      <c r="D82" s="396" t="s">
        <v>405</v>
      </c>
      <c r="E82" s="366"/>
      <c r="G82" s="366"/>
      <c r="I82" s="348"/>
      <c r="J82" s="348"/>
      <c r="K82" s="363"/>
    </row>
    <row r="83" spans="1:11" s="349" customFormat="1" ht="15" x14ac:dyDescent="0.25">
      <c r="A83" s="389"/>
      <c r="B83" s="389"/>
      <c r="C83" s="716"/>
      <c r="D83" s="396" t="s">
        <v>406</v>
      </c>
      <c r="E83" s="366"/>
      <c r="G83" s="366"/>
      <c r="I83" s="348"/>
      <c r="J83" s="348"/>
      <c r="K83" s="363"/>
    </row>
    <row r="84" spans="1:11" s="349" customFormat="1" ht="15" x14ac:dyDescent="0.25">
      <c r="A84" s="389"/>
      <c r="B84" s="389"/>
      <c r="C84" s="716"/>
      <c r="D84" s="396" t="s">
        <v>407</v>
      </c>
      <c r="E84" s="366"/>
      <c r="G84" s="366"/>
      <c r="I84" s="348"/>
      <c r="J84" s="348"/>
      <c r="K84" s="363"/>
    </row>
    <row r="85" spans="1:11" s="349" customFormat="1" ht="15" x14ac:dyDescent="0.25">
      <c r="A85" s="389"/>
      <c r="B85" s="389"/>
      <c r="C85" s="716"/>
      <c r="D85" s="396" t="s">
        <v>408</v>
      </c>
      <c r="E85" s="366"/>
      <c r="G85" s="366"/>
      <c r="I85" s="348"/>
      <c r="J85" s="348"/>
      <c r="K85" s="363"/>
    </row>
    <row r="86" spans="1:11" s="349" customFormat="1" ht="15" x14ac:dyDescent="0.25">
      <c r="A86" s="389"/>
      <c r="B86" s="389"/>
      <c r="C86" s="716"/>
      <c r="D86" s="396" t="s">
        <v>409</v>
      </c>
      <c r="E86" s="366"/>
      <c r="G86" s="366"/>
      <c r="I86" s="348"/>
      <c r="J86" s="348"/>
      <c r="K86" s="363"/>
    </row>
    <row r="87" spans="1:11" s="349" customFormat="1" ht="15" x14ac:dyDescent="0.25">
      <c r="A87" s="389"/>
      <c r="B87" s="389"/>
      <c r="C87" s="716"/>
      <c r="D87" s="396" t="s">
        <v>410</v>
      </c>
      <c r="E87" s="366"/>
      <c r="G87" s="366"/>
      <c r="I87" s="348"/>
      <c r="J87" s="348"/>
      <c r="K87" s="363"/>
    </row>
    <row r="88" spans="1:11" s="349" customFormat="1" ht="15" x14ac:dyDescent="0.25">
      <c r="A88" s="389"/>
      <c r="B88" s="389"/>
      <c r="C88" s="716"/>
      <c r="D88" s="396" t="s">
        <v>411</v>
      </c>
      <c r="E88" s="366"/>
      <c r="G88" s="366"/>
      <c r="I88" s="348"/>
      <c r="J88" s="348"/>
      <c r="K88" s="363"/>
    </row>
    <row r="89" spans="1:11" ht="15" x14ac:dyDescent="0.25">
      <c r="A89" s="389"/>
      <c r="B89" s="389"/>
      <c r="C89" s="716"/>
      <c r="D89" s="396" t="s">
        <v>412</v>
      </c>
      <c r="E89" s="366"/>
      <c r="G89" s="366"/>
    </row>
    <row r="90" spans="1:11" ht="15" x14ac:dyDescent="0.25">
      <c r="A90" s="389"/>
      <c r="B90" s="389"/>
      <c r="C90" s="716"/>
      <c r="D90" s="396" t="s">
        <v>413</v>
      </c>
      <c r="E90" s="366"/>
      <c r="G90" s="366"/>
    </row>
    <row r="91" spans="1:11" ht="15" x14ac:dyDescent="0.25">
      <c r="A91" s="389"/>
      <c r="B91" s="389"/>
      <c r="C91" s="716"/>
      <c r="D91" s="396" t="s">
        <v>414</v>
      </c>
      <c r="E91" s="366"/>
      <c r="G91" s="366"/>
    </row>
    <row r="92" spans="1:11" ht="15" x14ac:dyDescent="0.25">
      <c r="A92" s="389"/>
      <c r="B92" s="389"/>
      <c r="C92" s="716"/>
      <c r="D92" s="396" t="s">
        <v>415</v>
      </c>
      <c r="E92" s="366"/>
      <c r="G92" s="366"/>
    </row>
    <row r="93" spans="1:11" ht="15" x14ac:dyDescent="0.25">
      <c r="A93" s="389"/>
      <c r="B93" s="389"/>
      <c r="C93" s="716"/>
      <c r="D93" s="396" t="s">
        <v>416</v>
      </c>
      <c r="E93" s="366"/>
      <c r="G93" s="366"/>
    </row>
    <row r="94" spans="1:11" ht="15.75" thickBot="1" x14ac:dyDescent="0.3">
      <c r="A94" s="389"/>
      <c r="B94" s="389"/>
      <c r="C94" s="715"/>
      <c r="D94" s="404" t="s">
        <v>417</v>
      </c>
      <c r="E94" s="366"/>
      <c r="G94" s="366"/>
    </row>
    <row r="95" spans="1:11" ht="15" x14ac:dyDescent="0.25">
      <c r="A95" s="389"/>
      <c r="B95" s="389"/>
      <c r="C95" s="707" t="s">
        <v>418</v>
      </c>
      <c r="D95" s="403" t="s">
        <v>419</v>
      </c>
      <c r="E95" s="366"/>
      <c r="G95" s="366"/>
    </row>
    <row r="96" spans="1:11" ht="15" x14ac:dyDescent="0.25">
      <c r="A96" s="389"/>
      <c r="B96" s="389"/>
      <c r="C96" s="708"/>
      <c r="D96" s="396" t="s">
        <v>420</v>
      </c>
      <c r="E96" s="366"/>
      <c r="G96" s="366"/>
    </row>
    <row r="97" spans="1:9" ht="15" x14ac:dyDescent="0.25">
      <c r="A97" s="389"/>
      <c r="B97" s="389"/>
      <c r="C97" s="708"/>
      <c r="D97" s="396" t="s">
        <v>421</v>
      </c>
      <c r="E97" s="366"/>
      <c r="G97" s="366"/>
    </row>
    <row r="98" spans="1:9" ht="15" x14ac:dyDescent="0.25">
      <c r="A98" s="389"/>
      <c r="B98" s="389"/>
      <c r="C98" s="708"/>
      <c r="D98" s="396" t="s">
        <v>422</v>
      </c>
      <c r="E98" s="366"/>
      <c r="G98" s="366"/>
    </row>
    <row r="99" spans="1:9" ht="15" x14ac:dyDescent="0.25">
      <c r="A99" s="389"/>
      <c r="B99" s="389"/>
      <c r="C99" s="708"/>
      <c r="D99" s="396" t="s">
        <v>423</v>
      </c>
      <c r="E99" s="366"/>
      <c r="G99" s="367"/>
      <c r="H99" s="367"/>
      <c r="I99" s="367"/>
    </row>
    <row r="100" spans="1:9" ht="15" x14ac:dyDescent="0.25">
      <c r="A100" s="389"/>
      <c r="B100" s="389"/>
      <c r="C100" s="708"/>
      <c r="D100" s="396" t="s">
        <v>424</v>
      </c>
      <c r="E100" s="366"/>
      <c r="G100" s="367"/>
      <c r="H100" s="367"/>
      <c r="I100" s="367"/>
    </row>
    <row r="101" spans="1:9" ht="15" x14ac:dyDescent="0.25">
      <c r="A101" s="389"/>
      <c r="B101" s="389"/>
      <c r="C101" s="708"/>
      <c r="D101" s="396" t="s">
        <v>425</v>
      </c>
      <c r="E101" s="366"/>
      <c r="G101" s="367"/>
      <c r="H101" s="367"/>
      <c r="I101" s="367"/>
    </row>
    <row r="102" spans="1:9" ht="15" x14ac:dyDescent="0.25">
      <c r="A102" s="389"/>
      <c r="B102" s="389"/>
      <c r="C102" s="708"/>
      <c r="D102" s="396" t="s">
        <v>426</v>
      </c>
      <c r="E102" s="366"/>
      <c r="G102" s="367"/>
      <c r="H102" s="367"/>
      <c r="I102" s="367"/>
    </row>
    <row r="103" spans="1:9" ht="15" x14ac:dyDescent="0.25">
      <c r="A103" s="389"/>
      <c r="B103" s="389"/>
      <c r="C103" s="708"/>
      <c r="D103" s="396" t="s">
        <v>427</v>
      </c>
      <c r="E103" s="366"/>
      <c r="G103" s="367"/>
      <c r="H103" s="367"/>
      <c r="I103" s="367"/>
    </row>
    <row r="104" spans="1:9" ht="15" x14ac:dyDescent="0.25">
      <c r="A104" s="389"/>
      <c r="B104" s="389"/>
      <c r="C104" s="708"/>
      <c r="D104" s="396" t="s">
        <v>428</v>
      </c>
      <c r="E104" s="366"/>
      <c r="G104" s="367"/>
      <c r="H104" s="367"/>
      <c r="I104" s="367"/>
    </row>
    <row r="105" spans="1:9" ht="15.75" thickBot="1" x14ac:dyDescent="0.3">
      <c r="A105" s="389"/>
      <c r="B105" s="389"/>
      <c r="C105" s="709"/>
      <c r="D105" s="404" t="s">
        <v>429</v>
      </c>
      <c r="E105" s="366"/>
      <c r="G105" s="367"/>
      <c r="H105" s="367"/>
      <c r="I105" s="367"/>
    </row>
    <row r="106" spans="1:9" ht="15" x14ac:dyDescent="0.25">
      <c r="A106" s="389"/>
      <c r="B106" s="389"/>
      <c r="C106" s="717" t="s">
        <v>265</v>
      </c>
      <c r="D106" s="396" t="s">
        <v>430</v>
      </c>
      <c r="E106" s="366"/>
      <c r="G106" s="367"/>
      <c r="H106" s="367"/>
      <c r="I106" s="367"/>
    </row>
    <row r="107" spans="1:9" ht="15" x14ac:dyDescent="0.25">
      <c r="A107" s="389"/>
      <c r="B107" s="389"/>
      <c r="C107" s="718"/>
      <c r="D107" s="396" t="s">
        <v>431</v>
      </c>
      <c r="E107" s="366"/>
      <c r="G107" s="367"/>
      <c r="H107" s="367"/>
      <c r="I107" s="367"/>
    </row>
    <row r="108" spans="1:9" ht="15" x14ac:dyDescent="0.25">
      <c r="A108" s="389"/>
      <c r="B108" s="389"/>
      <c r="C108" s="718"/>
      <c r="D108" s="396" t="s">
        <v>432</v>
      </c>
      <c r="E108" s="366"/>
      <c r="G108" s="367"/>
      <c r="H108" s="367"/>
      <c r="I108" s="367"/>
    </row>
    <row r="109" spans="1:9" ht="15" x14ac:dyDescent="0.25">
      <c r="A109" s="389"/>
      <c r="B109" s="389"/>
      <c r="C109" s="718"/>
      <c r="D109" s="396" t="s">
        <v>433</v>
      </c>
      <c r="E109" s="366"/>
      <c r="G109" s="367"/>
      <c r="H109" s="367"/>
      <c r="I109" s="367"/>
    </row>
    <row r="110" spans="1:9" ht="15" x14ac:dyDescent="0.25">
      <c r="A110" s="389"/>
      <c r="B110" s="389"/>
      <c r="C110" s="718"/>
      <c r="D110" s="396" t="s">
        <v>434</v>
      </c>
      <c r="E110" s="366"/>
      <c r="G110" s="367"/>
      <c r="H110" s="367"/>
      <c r="I110" s="367"/>
    </row>
    <row r="111" spans="1:9" ht="15" x14ac:dyDescent="0.25">
      <c r="A111" s="389"/>
      <c r="B111" s="389"/>
      <c r="C111" s="718"/>
      <c r="D111" s="396" t="s">
        <v>435</v>
      </c>
      <c r="E111" s="366"/>
      <c r="G111" s="367"/>
      <c r="H111" s="367"/>
      <c r="I111" s="367"/>
    </row>
    <row r="112" spans="1:9" ht="15" x14ac:dyDescent="0.25">
      <c r="A112" s="389"/>
      <c r="B112" s="389"/>
      <c r="C112" s="718"/>
      <c r="D112" s="396" t="s">
        <v>436</v>
      </c>
      <c r="E112" s="366"/>
      <c r="G112" s="367"/>
      <c r="H112" s="367"/>
      <c r="I112" s="367"/>
    </row>
    <row r="113" spans="1:9" ht="15" x14ac:dyDescent="0.25">
      <c r="A113" s="389"/>
      <c r="B113" s="389"/>
      <c r="C113" s="718"/>
      <c r="D113" s="396" t="s">
        <v>437</v>
      </c>
      <c r="E113" s="366"/>
      <c r="G113" s="367"/>
      <c r="H113" s="367"/>
      <c r="I113" s="367"/>
    </row>
    <row r="114" spans="1:9" ht="15.75" thickBot="1" x14ac:dyDescent="0.3">
      <c r="A114" s="389"/>
      <c r="B114" s="389"/>
      <c r="C114" s="719"/>
      <c r="D114" s="404" t="s">
        <v>438</v>
      </c>
      <c r="E114" s="366"/>
      <c r="G114" s="367"/>
      <c r="H114" s="367"/>
      <c r="I114" s="367"/>
    </row>
    <row r="115" spans="1:9" ht="15.75" thickBot="1" x14ac:dyDescent="0.25">
      <c r="A115" s="389"/>
      <c r="B115" s="389"/>
      <c r="C115" s="505" t="s">
        <v>264</v>
      </c>
      <c r="D115" s="406" t="s">
        <v>321</v>
      </c>
    </row>
    <row r="116" spans="1:9" ht="19.5" thickBot="1" x14ac:dyDescent="0.25">
      <c r="A116" s="389"/>
      <c r="B116" s="389"/>
      <c r="C116" s="705" t="s">
        <v>322</v>
      </c>
      <c r="D116" s="710"/>
    </row>
    <row r="117" spans="1:9" ht="16.5" thickBot="1" x14ac:dyDescent="0.3">
      <c r="A117" s="389"/>
      <c r="B117" s="389"/>
      <c r="C117" s="385" t="s">
        <v>323</v>
      </c>
      <c r="D117" s="387" t="s">
        <v>324</v>
      </c>
    </row>
    <row r="118" spans="1:9" x14ac:dyDescent="0.2">
      <c r="A118" s="389"/>
      <c r="B118" s="389"/>
      <c r="C118" s="368"/>
      <c r="D118" s="369"/>
    </row>
    <row r="119" spans="1:9" x14ac:dyDescent="0.2">
      <c r="A119" s="389"/>
      <c r="B119" s="389"/>
      <c r="C119" s="370"/>
      <c r="D119" s="371"/>
    </row>
    <row r="120" spans="1:9" x14ac:dyDescent="0.2">
      <c r="A120" s="389"/>
      <c r="B120" s="389"/>
      <c r="C120" s="372"/>
      <c r="D120" s="371"/>
    </row>
    <row r="121" spans="1:9" x14ac:dyDescent="0.2">
      <c r="A121" s="389"/>
      <c r="B121" s="389"/>
      <c r="C121" s="370"/>
      <c r="D121" s="371"/>
    </row>
    <row r="122" spans="1:9" x14ac:dyDescent="0.2">
      <c r="A122" s="389"/>
      <c r="B122" s="389"/>
      <c r="C122" s="372"/>
      <c r="D122" s="371"/>
    </row>
    <row r="123" spans="1:9" x14ac:dyDescent="0.2">
      <c r="A123" s="389"/>
      <c r="B123" s="389"/>
      <c r="C123" s="370"/>
      <c r="D123" s="373"/>
    </row>
    <row r="124" spans="1:9" x14ac:dyDescent="0.2">
      <c r="A124" s="389"/>
      <c r="B124" s="389"/>
      <c r="C124" s="374"/>
      <c r="D124" s="373"/>
    </row>
    <row r="125" spans="1:9" ht="13.5" thickBot="1" x14ac:dyDescent="0.25">
      <c r="A125" s="390"/>
      <c r="B125" s="390"/>
      <c r="C125" s="375"/>
      <c r="D125" s="376"/>
    </row>
    <row r="126" spans="1:9" x14ac:dyDescent="0.2">
      <c r="A126" s="377"/>
      <c r="B126" s="378"/>
      <c r="C126" s="379"/>
      <c r="D126" s="380"/>
      <c r="E126" s="381"/>
      <c r="F126" s="382"/>
    </row>
    <row r="127" spans="1:9" x14ac:dyDescent="0.2">
      <c r="A127" s="407" t="s">
        <v>325</v>
      </c>
    </row>
    <row r="128" spans="1:9" ht="15.75" x14ac:dyDescent="0.2">
      <c r="A128" s="383"/>
      <c r="B128" s="384"/>
      <c r="C128" s="383"/>
      <c r="D128" s="383"/>
      <c r="E128" s="382"/>
      <c r="F128" s="382"/>
    </row>
    <row r="129" spans="5:8" x14ac:dyDescent="0.2">
      <c r="E129" s="382"/>
      <c r="F129" s="382"/>
    </row>
    <row r="130" spans="5:8" x14ac:dyDescent="0.2">
      <c r="E130" s="382"/>
      <c r="F130" s="382"/>
      <c r="G130" s="348"/>
      <c r="H130" s="348"/>
    </row>
    <row r="131" spans="5:8" x14ac:dyDescent="0.2">
      <c r="E131" s="382"/>
      <c r="F131" s="382"/>
    </row>
    <row r="132" spans="5:8" x14ac:dyDescent="0.2">
      <c r="E132" s="382"/>
      <c r="F132" s="382"/>
    </row>
  </sheetData>
  <mergeCells count="13">
    <mergeCell ref="C95:C105"/>
    <mergeCell ref="C116:D116"/>
    <mergeCell ref="C4:D4"/>
    <mergeCell ref="C6:C27"/>
    <mergeCell ref="C28:C30"/>
    <mergeCell ref="C31:C39"/>
    <mergeCell ref="C40:C41"/>
    <mergeCell ref="C42:C45"/>
    <mergeCell ref="C46:C54"/>
    <mergeCell ref="C55:C64"/>
    <mergeCell ref="C65:C73"/>
    <mergeCell ref="C74:C94"/>
    <mergeCell ref="C106:C114"/>
  </mergeCells>
  <hyperlinks>
    <hyperlink ref="A2" location="Inventory!A1" display="Inventory" xr:uid="{00000000-0004-0000-0A00-000000000000}"/>
  </hyperlinks>
  <pageMargins left="0.25" right="0.25" top="0.25" bottom="0.25" header="0.5" footer="0.5"/>
  <pageSetup scale="36" orientation="portrait"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7"/>
  <sheetViews>
    <sheetView showGridLines="0" workbookViewId="0"/>
  </sheetViews>
  <sheetFormatPr defaultRowHeight="15" x14ac:dyDescent="0.25"/>
  <cols>
    <col min="1" max="1" width="16" style="500" bestFit="1" customWidth="1"/>
    <col min="2" max="2" width="100.85546875" style="500" customWidth="1"/>
    <col min="3" max="16384" width="9.140625" style="500"/>
  </cols>
  <sheetData>
    <row r="1" spans="1:2" x14ac:dyDescent="0.25">
      <c r="A1" s="499" t="s">
        <v>46</v>
      </c>
    </row>
    <row r="3" spans="1:2" x14ac:dyDescent="0.25">
      <c r="A3" s="501" t="s">
        <v>439</v>
      </c>
      <c r="B3" s="501" t="s">
        <v>440</v>
      </c>
    </row>
    <row r="4" spans="1:2" ht="60" x14ac:dyDescent="0.25">
      <c r="A4" s="502" t="s">
        <v>182</v>
      </c>
      <c r="B4" s="503" t="s">
        <v>441</v>
      </c>
    </row>
    <row r="5" spans="1:2" x14ac:dyDescent="0.25">
      <c r="A5" s="504"/>
      <c r="B5" s="504"/>
    </row>
    <row r="6" spans="1:2" x14ac:dyDescent="0.25">
      <c r="A6" s="504"/>
      <c r="B6" s="504"/>
    </row>
    <row r="7" spans="1:2" x14ac:dyDescent="0.25">
      <c r="A7" s="504"/>
      <c r="B7" s="504"/>
    </row>
    <row r="8" spans="1:2" x14ac:dyDescent="0.25">
      <c r="A8" s="504"/>
      <c r="B8" s="504"/>
    </row>
    <row r="9" spans="1:2" x14ac:dyDescent="0.25">
      <c r="A9" s="504"/>
      <c r="B9" s="504"/>
    </row>
    <row r="10" spans="1:2" x14ac:dyDescent="0.25">
      <c r="A10" s="504"/>
      <c r="B10" s="504"/>
    </row>
    <row r="11" spans="1:2" x14ac:dyDescent="0.25">
      <c r="A11" s="504"/>
      <c r="B11" s="504"/>
    </row>
    <row r="12" spans="1:2" x14ac:dyDescent="0.25">
      <c r="A12" s="504"/>
      <c r="B12" s="504"/>
    </row>
    <row r="13" spans="1:2" x14ac:dyDescent="0.25">
      <c r="A13" s="504"/>
      <c r="B13" s="504"/>
    </row>
    <row r="14" spans="1:2" x14ac:dyDescent="0.25">
      <c r="A14" s="504"/>
      <c r="B14" s="504"/>
    </row>
    <row r="15" spans="1:2" x14ac:dyDescent="0.25">
      <c r="A15" s="504"/>
      <c r="B15" s="504"/>
    </row>
    <row r="16" spans="1:2" x14ac:dyDescent="0.25">
      <c r="A16" s="504"/>
      <c r="B16" s="504"/>
    </row>
    <row r="17" spans="1:2" x14ac:dyDescent="0.25">
      <c r="A17" s="504"/>
      <c r="B17" s="504"/>
    </row>
  </sheetData>
  <hyperlinks>
    <hyperlink ref="A1" location="Inventory!A1" display="Inventory" xr:uid="{00000000-0004-0000-0B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CDAB2F88775145B114997D7E3EC086" ma:contentTypeVersion="5" ma:contentTypeDescription="Create a new document." ma:contentTypeScope="" ma:versionID="ac8e86be52442a466a4d1d49b35ea697">
  <xsd:schema xmlns:xsd="http://www.w3.org/2001/XMLSchema" xmlns:xs="http://www.w3.org/2001/XMLSchema" xmlns:p="http://schemas.microsoft.com/office/2006/metadata/properties" xmlns:ns2="f33575d1-c635-47cb-9f2e-8b33b5cd6ba3" targetNamespace="http://schemas.microsoft.com/office/2006/metadata/properties" ma:root="true" ma:fieldsID="4f20e3f97fa5e7b089bcd9af969c5083" ns2:_="">
    <xsd:import namespace="f33575d1-c635-47cb-9f2e-8b33b5cd6b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575d1-c635-47cb-9f2e-8b33b5cd6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9DAD12-BEE2-418B-B158-75E7199626B1}">
  <ds:schemaRefs>
    <ds:schemaRef ds:uri="http://schemas.microsoft.com/sharepoint/v3/contenttype/forms"/>
  </ds:schemaRefs>
</ds:datastoreItem>
</file>

<file path=customXml/itemProps2.xml><?xml version="1.0" encoding="utf-8"?>
<ds:datastoreItem xmlns:ds="http://schemas.openxmlformats.org/officeDocument/2006/customXml" ds:itemID="{174B3454-11CB-480B-824D-C67FA70B6EF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3575d1-c635-47cb-9f2e-8b33b5cd6ba3"/>
    <ds:schemaRef ds:uri="http://www.w3.org/XML/1998/namespace"/>
  </ds:schemaRefs>
</ds:datastoreItem>
</file>

<file path=customXml/itemProps3.xml><?xml version="1.0" encoding="utf-8"?>
<ds:datastoreItem xmlns:ds="http://schemas.openxmlformats.org/officeDocument/2006/customXml" ds:itemID="{CE2B5548-15C2-4EDD-80BD-F7F594FF8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575d1-c635-47cb-9f2e-8b33b5cd6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Inventory</vt:lpstr>
      <vt:lpstr>Log</vt:lpstr>
      <vt:lpstr>P-8A Standard (U)</vt:lpstr>
      <vt:lpstr>P3C FRU (Reserve) Standard (U) </vt:lpstr>
      <vt:lpstr>VP FRS</vt:lpstr>
      <vt:lpstr>VP PDAA</vt:lpstr>
      <vt:lpstr>VP P-3C Reduced Matrix</vt:lpstr>
      <vt:lpstr>VP P-8A Reduced Matrix</vt:lpstr>
      <vt:lpstr>P-8A Mission System Summary</vt:lpstr>
      <vt:lpstr>VP P-8A Mission Systems</vt:lpstr>
      <vt:lpstr>VP P-3C Mission Systems</vt:lpstr>
      <vt:lpstr>Definitions</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dc:title>
  <dc:subject/>
  <dc:creator>michael.fleetwood</dc:creator>
  <cp:keywords/>
  <dc:description/>
  <cp:lastModifiedBy>Mark Bodoh</cp:lastModifiedBy>
  <cp:revision/>
  <dcterms:created xsi:type="dcterms:W3CDTF">2009-01-23T18:37:06Z</dcterms:created>
  <dcterms:modified xsi:type="dcterms:W3CDTF">2023-04-05T23:54:14Z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0x010100EBCDAB2F88775145B114997D7E3EC086</vt:lpwstr>
  </property>
  <property fmtid="{D5CDD505-2E9C-101B-9397-08002B2CF9AE}" pid="3" name="_dlc_DocIdItemGuid">
    <vt:lpwstr>8eed8fb8-ecc5-4590-bc7a-60e04e5380f0</vt:lpwstr>
  </property>
  <property fmtid="{D5CDD505-2E9C-101B-9397-08002B2CF9AE}" pid="4" name="Order">
    <vt:r8>28900</vt:r8>
  </property>
  <property fmtid="{D5CDD505-2E9C-101B-9397-08002B2CF9AE}" pid="5" name="MSIP_Label_afe64f26-154f-4743-927e-a7310aa86873_Enabled">
    <vt:lpwstr>true</vt:lpwstr>
  </property>
  <property fmtid="{D5CDD505-2E9C-101B-9397-08002B2CF9AE}" pid="6" name="MSIP_Label_afe64f26-154f-4743-927e-a7310aa86873_SetDate">
    <vt:lpwstr>2023-04-05T23:53:40Z</vt:lpwstr>
  </property>
  <property fmtid="{D5CDD505-2E9C-101B-9397-08002B2CF9AE}" pid="7" name="MSIP_Label_afe64f26-154f-4743-927e-a7310aa86873_Method">
    <vt:lpwstr>Privileged</vt:lpwstr>
  </property>
  <property fmtid="{D5CDD505-2E9C-101B-9397-08002B2CF9AE}" pid="8" name="MSIP_Label_afe64f26-154f-4743-927e-a7310aa86873_Name">
    <vt:lpwstr>GovernmentData</vt:lpwstr>
  </property>
  <property fmtid="{D5CDD505-2E9C-101B-9397-08002B2CF9AE}" pid="9" name="MSIP_Label_afe64f26-154f-4743-927e-a7310aa86873_SiteId">
    <vt:lpwstr>29ac9fa0-83e8-40a8-914f-a74b1c9c46d0</vt:lpwstr>
  </property>
  <property fmtid="{D5CDD505-2E9C-101B-9397-08002B2CF9AE}" pid="10" name="MSIP_Label_afe64f26-154f-4743-927e-a7310aa86873_ActionId">
    <vt:lpwstr>adee4f01-b7e1-47fd-a3d1-15c62ff60729</vt:lpwstr>
  </property>
  <property fmtid="{D5CDD505-2E9C-101B-9397-08002B2CF9AE}" pid="11" name="MSIP_Label_afe64f26-154f-4743-927e-a7310aa86873_ContentBits">
    <vt:lpwstr>0</vt:lpwstr>
  </property>
</Properties>
</file>